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1007696E-0F82-40D7-8600-560BCA54524F}" xr6:coauthVersionLast="36" xr6:coauthVersionMax="36" xr10:uidLastSave="{00000000-0000-0000-0000-000000000000}"/>
  <bookViews>
    <workbookView xWindow="0" yWindow="0" windowWidth="28800" windowHeight="11265" tabRatio="862" xr2:uid="{00000000-000D-0000-FFFF-FFFF00000000}"/>
  </bookViews>
  <sheets>
    <sheet name=" Introduction" sheetId="1" r:id="rId1"/>
    <sheet name="Instructions" sheetId="2" r:id="rId2"/>
    <sheet name="User_Input" sheetId="10" r:id="rId3"/>
    <sheet name="Output_Summary" sheetId="20" r:id="rId4"/>
    <sheet name="Output_DE marinas" sheetId="28" r:id="rId5"/>
    <sheet name="DE Marinas_Scenario_Calc" sheetId="27" r:id="rId6"/>
    <sheet name="Active_Subst_Input" sheetId="3" r:id="rId7"/>
  </sheets>
  <definedNames>
    <definedName name="a">User_Input!$I$22</definedName>
    <definedName name="Application_Conversion_Factor" localSheetId="5">'DE Marinas_Scenario_Calc'!$F$17</definedName>
    <definedName name="Application_Conversion_Factor">#REF!</definedName>
    <definedName name="Application_Factor">User_Input!$H$7</definedName>
    <definedName name="Average_biocide_release_over_the_lifetime_of_the_paint_C">User_Input!$I$30</definedName>
    <definedName name="Average_biocide_release_over_the_lifetime_of_the_paint_M">User_Input!$H$11</definedName>
    <definedName name="Background_Sed_Freshwater">User_Input!$C$20</definedName>
    <definedName name="Background_SW_Freshwater">User_Input!$C$19</definedName>
    <definedName name="Compound_Name">Active_Subst_Input!$C$6</definedName>
    <definedName name="DFT">User_Input!$I$25</definedName>
    <definedName name="La">User_Input!$I$21</definedName>
    <definedName name="Leaching_Conversion_Factor" localSheetId="5">'DE Marinas_Scenario_Calc'!$F$11</definedName>
    <definedName name="Leaching_Conversion_Factor">#REF!</definedName>
    <definedName name="Mrel">User_Input!$I$29</definedName>
    <definedName name="O_Application_Conversion_Factor">#REF!</definedName>
    <definedName name="O_Leaching_Conversion_Factor">#REF!</definedName>
    <definedName name="PNEC_Aquatic_Inside">User_Input!$C$12</definedName>
    <definedName name="PNEC_Aquatic_Surrounding">User_Input!$D$12</definedName>
    <definedName name="PNEC_Sediment_Inside">User_Input!$C$13</definedName>
    <definedName name="PNEC_Sediment_Surrounding">User_Input!$D$13</definedName>
    <definedName name="Substance">' Introduction'!$B$4</definedName>
    <definedName name="t">User_Input!$I$27</definedName>
    <definedName name="Tooltype">' Introduction'!$B$5</definedName>
    <definedName name="Version">' Introduction'!$B$3</definedName>
    <definedName name="VS">User_Input!$I$26</definedName>
    <definedName name="ƿ">User_Input!$I$24</definedName>
    <definedName name="Wa">User_Input!$I$23</definedName>
    <definedName name="WSA_ConversionFactor" localSheetId="5">'DE Marinas_Scenario_Calc'!#REF!</definedName>
    <definedName name="WSA_ConversionFactor">#REF!</definedName>
    <definedName name="WSA_freshwater" localSheetId="5">'DE Marinas_Scenario_Calc'!#REF!</definedName>
    <definedName name="WSA_freshwater">#REF!</definedName>
    <definedName name="WSA_OECD_default" localSheetId="5">'DE Marinas_Scenario_Calc'!$O$6</definedName>
    <definedName name="WSA_OECD_default">#REF!</definedName>
  </definedNames>
  <calcPr calcId="191029"/>
</workbook>
</file>

<file path=xl/calcChain.xml><?xml version="1.0" encoding="utf-8"?>
<calcChain xmlns="http://schemas.openxmlformats.org/spreadsheetml/2006/main">
  <c r="C61" i="20" l="1"/>
  <c r="D61" i="20"/>
  <c r="C62" i="20"/>
  <c r="D62" i="20"/>
  <c r="C63" i="20"/>
  <c r="D63" i="20"/>
  <c r="C64" i="20"/>
  <c r="D64" i="20"/>
  <c r="C65" i="20"/>
  <c r="D65" i="20"/>
  <c r="C66" i="20"/>
  <c r="D66" i="20"/>
  <c r="C67" i="20"/>
  <c r="D67" i="20"/>
  <c r="C68" i="20"/>
  <c r="D68" i="20"/>
  <c r="C69" i="20"/>
  <c r="D69" i="20"/>
  <c r="C70" i="20"/>
  <c r="D70" i="20"/>
  <c r="C71" i="20"/>
  <c r="D71" i="20"/>
  <c r="C72" i="20"/>
  <c r="D72" i="20"/>
  <c r="C73" i="20"/>
  <c r="D73" i="20"/>
  <c r="C74" i="20"/>
  <c r="D74" i="20"/>
  <c r="C75" i="20"/>
  <c r="D75" i="20"/>
  <c r="C76" i="20"/>
  <c r="D76" i="20"/>
  <c r="D60" i="20"/>
  <c r="C60" i="20"/>
  <c r="C40" i="20"/>
  <c r="D40" i="20"/>
  <c r="C41" i="20"/>
  <c r="D41" i="20"/>
  <c r="C42" i="20"/>
  <c r="D42" i="20"/>
  <c r="C43" i="20"/>
  <c r="D43" i="20"/>
  <c r="C44" i="20"/>
  <c r="D44" i="20"/>
  <c r="C45" i="20"/>
  <c r="D45" i="20"/>
  <c r="C46" i="20"/>
  <c r="D46" i="20"/>
  <c r="C47" i="20"/>
  <c r="D47" i="20"/>
  <c r="C48" i="20"/>
  <c r="D48" i="20"/>
  <c r="C49" i="20"/>
  <c r="D49" i="20"/>
  <c r="C50" i="20"/>
  <c r="D50" i="20"/>
  <c r="C51" i="20"/>
  <c r="D51" i="20"/>
  <c r="C52" i="20"/>
  <c r="D52" i="20"/>
  <c r="C53" i="20"/>
  <c r="D53" i="20"/>
  <c r="C54" i="20"/>
  <c r="D54" i="20"/>
  <c r="C55" i="20"/>
  <c r="D55" i="20"/>
  <c r="D39" i="20"/>
  <c r="C39" i="20"/>
  <c r="D28" i="28" l="1"/>
  <c r="D27" i="28"/>
  <c r="D26" i="28"/>
  <c r="D25" i="28"/>
  <c r="D24" i="28"/>
  <c r="D23" i="28"/>
  <c r="D22" i="28"/>
  <c r="D21" i="28"/>
  <c r="D20" i="28"/>
  <c r="D19" i="28"/>
  <c r="D18" i="28"/>
  <c r="D17" i="28"/>
  <c r="D16" i="28"/>
  <c r="D15" i="28"/>
  <c r="D14" i="28"/>
  <c r="D13" i="28"/>
  <c r="D12" i="28"/>
  <c r="F8" i="28"/>
  <c r="F7" i="28"/>
  <c r="F6" i="28"/>
  <c r="F5" i="28"/>
  <c r="B3" i="28"/>
  <c r="D37" i="27"/>
  <c r="D36" i="27"/>
  <c r="D35" i="27"/>
  <c r="D34" i="27"/>
  <c r="D33" i="27"/>
  <c r="D32" i="27"/>
  <c r="D31" i="27"/>
  <c r="D30" i="27"/>
  <c r="D29" i="27"/>
  <c r="D28" i="27"/>
  <c r="D27" i="27"/>
  <c r="D26" i="27"/>
  <c r="D25" i="27"/>
  <c r="D24" i="27"/>
  <c r="D23" i="27"/>
  <c r="D22" i="27"/>
  <c r="Q21" i="27"/>
  <c r="P21" i="27"/>
  <c r="O21" i="27"/>
  <c r="N21" i="27"/>
  <c r="D21" i="27"/>
  <c r="F16" i="27"/>
  <c r="F17" i="27" s="1"/>
  <c r="F9" i="27"/>
  <c r="F7" i="27"/>
  <c r="B3" i="27"/>
  <c r="F23" i="20" l="1"/>
  <c r="E23" i="20"/>
  <c r="F19" i="20"/>
  <c r="F18" i="20"/>
  <c r="F17" i="20"/>
  <c r="F16" i="20"/>
  <c r="E12" i="20"/>
  <c r="D7" i="20"/>
  <c r="D6" i="20"/>
  <c r="C4" i="20"/>
  <c r="L3" i="20"/>
  <c r="B3" i="3"/>
  <c r="I29" i="10"/>
  <c r="I30" i="10" s="1"/>
  <c r="B6" i="10"/>
  <c r="B3" i="10"/>
  <c r="B3" i="2"/>
  <c r="F8" i="27" l="1"/>
  <c r="F10" i="27"/>
  <c r="F11" i="27" s="1"/>
  <c r="E13" i="20"/>
  <c r="M21" i="27" l="1"/>
  <c r="J21" i="27"/>
  <c r="K22" i="27"/>
  <c r="F13" i="28" s="1"/>
  <c r="M22" i="27"/>
  <c r="K23" i="27"/>
  <c r="F14" i="28" s="1"/>
  <c r="M23" i="27"/>
  <c r="K24" i="27"/>
  <c r="F15" i="28" s="1"/>
  <c r="M24" i="27"/>
  <c r="H15" i="28" s="1"/>
  <c r="K25" i="27"/>
  <c r="F16" i="28" s="1"/>
  <c r="M25" i="27"/>
  <c r="K26" i="27"/>
  <c r="F17" i="28" s="1"/>
  <c r="M26" i="27"/>
  <c r="K27" i="27"/>
  <c r="F18" i="28" s="1"/>
  <c r="M27" i="27"/>
  <c r="K28" i="27"/>
  <c r="F19" i="28" s="1"/>
  <c r="M28" i="27"/>
  <c r="K29" i="27"/>
  <c r="F20" i="28" s="1"/>
  <c r="M29" i="27"/>
  <c r="K30" i="27"/>
  <c r="F21" i="28" s="1"/>
  <c r="M30" i="27"/>
  <c r="H21" i="28" s="1"/>
  <c r="K31" i="27"/>
  <c r="F22" i="28" s="1"/>
  <c r="M31" i="27"/>
  <c r="K32" i="27"/>
  <c r="F23" i="28" s="1"/>
  <c r="M32" i="27"/>
  <c r="K33" i="27"/>
  <c r="F24" i="28" s="1"/>
  <c r="M33" i="27"/>
  <c r="K34" i="27"/>
  <c r="F25" i="28" s="1"/>
  <c r="M34" i="27"/>
  <c r="H25" i="28" s="1"/>
  <c r="K35" i="27"/>
  <c r="F26" i="28" s="1"/>
  <c r="M35" i="27"/>
  <c r="K36" i="27"/>
  <c r="F27" i="28" s="1"/>
  <c r="M36" i="27"/>
  <c r="K37" i="27"/>
  <c r="F28" i="28" s="1"/>
  <c r="M37" i="27"/>
  <c r="J22" i="27"/>
  <c r="E13" i="28" s="1"/>
  <c r="L22" i="27"/>
  <c r="G13" i="28" s="1"/>
  <c r="J23" i="27"/>
  <c r="L23" i="27"/>
  <c r="J24" i="27"/>
  <c r="E15" i="28" s="1"/>
  <c r="L24" i="27"/>
  <c r="G15" i="28" s="1"/>
  <c r="J25" i="27"/>
  <c r="E16" i="28" s="1"/>
  <c r="L25" i="27"/>
  <c r="G16" i="28" s="1"/>
  <c r="J26" i="27"/>
  <c r="E17" i="28" s="1"/>
  <c r="L26" i="27"/>
  <c r="G17" i="28" s="1"/>
  <c r="J27" i="27"/>
  <c r="L27" i="27"/>
  <c r="J28" i="27"/>
  <c r="E19" i="28" s="1"/>
  <c r="L28" i="27"/>
  <c r="G19" i="28" s="1"/>
  <c r="J29" i="27"/>
  <c r="L29" i="27"/>
  <c r="J30" i="27"/>
  <c r="E21" i="28" s="1"/>
  <c r="L30" i="27"/>
  <c r="G21" i="28" s="1"/>
  <c r="J31" i="27"/>
  <c r="E22" i="28" s="1"/>
  <c r="L31" i="27"/>
  <c r="G22" i="28" s="1"/>
  <c r="J32" i="27"/>
  <c r="E23" i="28" s="1"/>
  <c r="L32" i="27"/>
  <c r="G23" i="28" s="1"/>
  <c r="J33" i="27"/>
  <c r="L33" i="27"/>
  <c r="J34" i="27"/>
  <c r="E25" i="28" s="1"/>
  <c r="L34" i="27"/>
  <c r="G25" i="28" s="1"/>
  <c r="J35" i="27"/>
  <c r="E26" i="28" s="1"/>
  <c r="L35" i="27"/>
  <c r="G26" i="28" s="1"/>
  <c r="J36" i="27"/>
  <c r="E27" i="28" s="1"/>
  <c r="L36" i="27"/>
  <c r="G27" i="28" s="1"/>
  <c r="J37" i="27"/>
  <c r="L37" i="27"/>
  <c r="L21" i="27"/>
  <c r="K21" i="27"/>
  <c r="L38" i="27" l="1"/>
  <c r="G29" i="20" s="1"/>
  <c r="K38" i="27"/>
  <c r="F29" i="20" s="1"/>
  <c r="G29" i="28"/>
  <c r="J38" i="27"/>
  <c r="J39" i="27"/>
  <c r="M38" i="27"/>
  <c r="F12" i="28"/>
  <c r="G55" i="20"/>
  <c r="G28" i="28"/>
  <c r="G51" i="20"/>
  <c r="G24" i="28"/>
  <c r="G47" i="20"/>
  <c r="G20" i="28"/>
  <c r="G45" i="20"/>
  <c r="G18" i="28"/>
  <c r="G41" i="20"/>
  <c r="G14" i="28"/>
  <c r="H55" i="20"/>
  <c r="H28" i="28"/>
  <c r="H54" i="20"/>
  <c r="H27" i="28"/>
  <c r="H53" i="20"/>
  <c r="H26" i="28"/>
  <c r="H51" i="20"/>
  <c r="H24" i="28"/>
  <c r="H50" i="20"/>
  <c r="H23" i="28"/>
  <c r="H49" i="20"/>
  <c r="H22" i="28"/>
  <c r="H47" i="20"/>
  <c r="H20" i="28"/>
  <c r="H46" i="20"/>
  <c r="H19" i="28"/>
  <c r="H45" i="20"/>
  <c r="H18" i="28"/>
  <c r="H44" i="20"/>
  <c r="H17" i="28"/>
  <c r="H43" i="20"/>
  <c r="H16" i="28"/>
  <c r="H41" i="20"/>
  <c r="H14" i="28"/>
  <c r="U22" i="27"/>
  <c r="L13" i="28" s="1"/>
  <c r="H13" i="28"/>
  <c r="E12" i="28"/>
  <c r="G39" i="20"/>
  <c r="G12" i="28"/>
  <c r="E55" i="20"/>
  <c r="E28" i="28"/>
  <c r="E51" i="20"/>
  <c r="E24" i="28"/>
  <c r="E47" i="20"/>
  <c r="E20" i="28"/>
  <c r="E45" i="20"/>
  <c r="E18" i="28"/>
  <c r="E41" i="20"/>
  <c r="E14" i="28"/>
  <c r="H39" i="20"/>
  <c r="H12" i="28"/>
  <c r="U37" i="27"/>
  <c r="L28" i="28" s="1"/>
  <c r="R21" i="27"/>
  <c r="E39" i="20"/>
  <c r="U23" i="27"/>
  <c r="H62" i="20" s="1"/>
  <c r="R27" i="27"/>
  <c r="I18" i="28" s="1"/>
  <c r="U29" i="27"/>
  <c r="L20" i="28" s="1"/>
  <c r="T27" i="27"/>
  <c r="G66" i="20" s="1"/>
  <c r="R33" i="27"/>
  <c r="E72" i="20" s="1"/>
  <c r="U26" i="27"/>
  <c r="L17" i="28" s="1"/>
  <c r="U36" i="27"/>
  <c r="L27" i="28" s="1"/>
  <c r="T33" i="27"/>
  <c r="G72" i="20" s="1"/>
  <c r="U27" i="27"/>
  <c r="H66" i="20" s="1"/>
  <c r="U33" i="27"/>
  <c r="L24" i="28" s="1"/>
  <c r="U32" i="27"/>
  <c r="L23" i="28" s="1"/>
  <c r="T23" i="27"/>
  <c r="G62" i="20" s="1"/>
  <c r="T29" i="27"/>
  <c r="G68" i="20" s="1"/>
  <c r="T37" i="27"/>
  <c r="G76" i="20" s="1"/>
  <c r="U25" i="27"/>
  <c r="L16" i="28" s="1"/>
  <c r="U28" i="27"/>
  <c r="H67" i="20" s="1"/>
  <c r="U31" i="27"/>
  <c r="H70" i="20" s="1"/>
  <c r="U35" i="27"/>
  <c r="H74" i="20" s="1"/>
  <c r="H61" i="20"/>
  <c r="E66" i="20"/>
  <c r="R36" i="27"/>
  <c r="E54" i="20"/>
  <c r="R35" i="27"/>
  <c r="E53" i="20"/>
  <c r="R34" i="27"/>
  <c r="E52" i="20"/>
  <c r="R32" i="27"/>
  <c r="E50" i="20"/>
  <c r="R31" i="27"/>
  <c r="E49" i="20"/>
  <c r="R30" i="27"/>
  <c r="E48" i="20"/>
  <c r="R28" i="27"/>
  <c r="E46" i="20"/>
  <c r="R26" i="27"/>
  <c r="E44" i="20"/>
  <c r="R25" i="27"/>
  <c r="E43" i="20"/>
  <c r="R24" i="27"/>
  <c r="E42" i="20"/>
  <c r="R22" i="27"/>
  <c r="E40" i="20"/>
  <c r="S37" i="27"/>
  <c r="F55" i="20"/>
  <c r="S36" i="27"/>
  <c r="F54" i="20"/>
  <c r="S35" i="27"/>
  <c r="F53" i="20"/>
  <c r="S34" i="27"/>
  <c r="F52" i="20"/>
  <c r="S33" i="27"/>
  <c r="F51" i="20"/>
  <c r="S32" i="27"/>
  <c r="F50" i="20"/>
  <c r="S31" i="27"/>
  <c r="F49" i="20"/>
  <c r="S30" i="27"/>
  <c r="F48" i="20"/>
  <c r="S29" i="27"/>
  <c r="F47" i="20"/>
  <c r="S28" i="27"/>
  <c r="F46" i="20"/>
  <c r="S27" i="27"/>
  <c r="F45" i="20"/>
  <c r="S26" i="27"/>
  <c r="F44" i="20"/>
  <c r="S25" i="27"/>
  <c r="F43" i="20"/>
  <c r="S24" i="27"/>
  <c r="F42" i="20"/>
  <c r="S23" i="27"/>
  <c r="F41" i="20"/>
  <c r="S22" i="27"/>
  <c r="F40" i="20"/>
  <c r="H71" i="20"/>
  <c r="R23" i="27"/>
  <c r="R29" i="27"/>
  <c r="R37" i="27"/>
  <c r="L14" i="28"/>
  <c r="H76" i="20"/>
  <c r="K39" i="27"/>
  <c r="F39" i="20"/>
  <c r="T36" i="27"/>
  <c r="G54" i="20"/>
  <c r="T35" i="27"/>
  <c r="G53" i="20"/>
  <c r="T34" i="27"/>
  <c r="G52" i="20"/>
  <c r="T32" i="27"/>
  <c r="G50" i="20"/>
  <c r="T31" i="27"/>
  <c r="G49" i="20"/>
  <c r="T30" i="27"/>
  <c r="G48" i="20"/>
  <c r="T28" i="27"/>
  <c r="G46" i="20"/>
  <c r="T26" i="27"/>
  <c r="G44" i="20"/>
  <c r="T25" i="27"/>
  <c r="G43" i="20"/>
  <c r="T24" i="27"/>
  <c r="G42" i="20"/>
  <c r="T22" i="27"/>
  <c r="G40" i="20"/>
  <c r="U34" i="27"/>
  <c r="H52" i="20"/>
  <c r="U30" i="27"/>
  <c r="H48" i="20"/>
  <c r="U24" i="27"/>
  <c r="H42" i="20"/>
  <c r="M39" i="27"/>
  <c r="H40" i="20"/>
  <c r="E30" i="28"/>
  <c r="E30" i="20"/>
  <c r="L39" i="27"/>
  <c r="J47" i="27"/>
  <c r="J46" i="27"/>
  <c r="J45" i="27"/>
  <c r="J44" i="27"/>
  <c r="J43" i="27"/>
  <c r="J42" i="27"/>
  <c r="J41" i="27"/>
  <c r="J40" i="27"/>
  <c r="K47" i="27"/>
  <c r="K46" i="27"/>
  <c r="K45" i="27"/>
  <c r="K44" i="27"/>
  <c r="K43" i="27"/>
  <c r="K42" i="27"/>
  <c r="K41" i="27"/>
  <c r="K40" i="27"/>
  <c r="S21" i="27"/>
  <c r="L47" i="27"/>
  <c r="L46" i="27"/>
  <c r="L45" i="27"/>
  <c r="L44" i="27"/>
  <c r="L43" i="27"/>
  <c r="L42" i="27"/>
  <c r="L41" i="27"/>
  <c r="L40" i="27"/>
  <c r="T21" i="27"/>
  <c r="T38" i="27" s="1"/>
  <c r="M47" i="27"/>
  <c r="M46" i="27"/>
  <c r="M45" i="27"/>
  <c r="M44" i="27"/>
  <c r="M43" i="27"/>
  <c r="M42" i="27"/>
  <c r="M41" i="27"/>
  <c r="M40" i="27"/>
  <c r="U21" i="27"/>
  <c r="F29" i="28" l="1"/>
  <c r="U38" i="27"/>
  <c r="L29" i="28" s="1"/>
  <c r="S38" i="27"/>
  <c r="J29" i="28" s="1"/>
  <c r="I24" i="28"/>
  <c r="H75" i="20"/>
  <c r="L29" i="20"/>
  <c r="J29" i="20"/>
  <c r="K29" i="28"/>
  <c r="K29" i="20"/>
  <c r="H68" i="20"/>
  <c r="H64" i="20"/>
  <c r="R38" i="27"/>
  <c r="H29" i="20"/>
  <c r="H29" i="28"/>
  <c r="E29" i="28"/>
  <c r="E29" i="20"/>
  <c r="H72" i="20"/>
  <c r="K24" i="28"/>
  <c r="L18" i="28"/>
  <c r="L22" i="28"/>
  <c r="K20" i="28"/>
  <c r="U39" i="27"/>
  <c r="H65" i="20"/>
  <c r="K18" i="28"/>
  <c r="L26" i="28"/>
  <c r="L19" i="28"/>
  <c r="K28" i="28"/>
  <c r="K14" i="28"/>
  <c r="H31" i="20"/>
  <c r="H31" i="28"/>
  <c r="T39" i="27"/>
  <c r="G60" i="20"/>
  <c r="K12" i="28"/>
  <c r="G32" i="20"/>
  <c r="G32" i="28"/>
  <c r="F31" i="20"/>
  <c r="F31" i="28"/>
  <c r="G30" i="20"/>
  <c r="G30" i="28"/>
  <c r="H30" i="20"/>
  <c r="H30" i="28"/>
  <c r="H63" i="20"/>
  <c r="L15" i="28"/>
  <c r="H69" i="20"/>
  <c r="L21" i="28"/>
  <c r="H73" i="20"/>
  <c r="L25" i="28"/>
  <c r="G61" i="20"/>
  <c r="K13" i="28"/>
  <c r="G63" i="20"/>
  <c r="K15" i="28"/>
  <c r="G64" i="20"/>
  <c r="K16" i="28"/>
  <c r="G65" i="20"/>
  <c r="K17" i="28"/>
  <c r="G67" i="20"/>
  <c r="K19" i="28"/>
  <c r="G69" i="20"/>
  <c r="K21" i="28"/>
  <c r="G70" i="20"/>
  <c r="K22" i="28"/>
  <c r="G71" i="20"/>
  <c r="K23" i="28"/>
  <c r="G73" i="20"/>
  <c r="K25" i="28"/>
  <c r="G74" i="20"/>
  <c r="K26" i="28"/>
  <c r="G75" i="20"/>
  <c r="K27" i="28"/>
  <c r="F30" i="20"/>
  <c r="F30" i="28"/>
  <c r="E68" i="20"/>
  <c r="I20" i="28"/>
  <c r="H60" i="20"/>
  <c r="L12" i="28"/>
  <c r="H32" i="20"/>
  <c r="H32" i="28"/>
  <c r="G31" i="20"/>
  <c r="G31" i="28"/>
  <c r="F60" i="20"/>
  <c r="S39" i="27"/>
  <c r="J12" i="28"/>
  <c r="F32" i="20"/>
  <c r="F32" i="28"/>
  <c r="E76" i="20"/>
  <c r="I28" i="28"/>
  <c r="E62" i="20"/>
  <c r="I14" i="28"/>
  <c r="F61" i="20"/>
  <c r="J13" i="28"/>
  <c r="F62" i="20"/>
  <c r="J14" i="28"/>
  <c r="F63" i="20"/>
  <c r="J15" i="28"/>
  <c r="F64" i="20"/>
  <c r="J16" i="28"/>
  <c r="F65" i="20"/>
  <c r="J17" i="28"/>
  <c r="F66" i="20"/>
  <c r="J18" i="28"/>
  <c r="F67" i="20"/>
  <c r="J19" i="28"/>
  <c r="F68" i="20"/>
  <c r="J20" i="28"/>
  <c r="F69" i="20"/>
  <c r="J21" i="28"/>
  <c r="F70" i="20"/>
  <c r="J22" i="28"/>
  <c r="F71" i="20"/>
  <c r="J23" i="28"/>
  <c r="F72" i="20"/>
  <c r="J24" i="28"/>
  <c r="F73" i="20"/>
  <c r="J25" i="28"/>
  <c r="F74" i="20"/>
  <c r="J26" i="28"/>
  <c r="F75" i="20"/>
  <c r="J27" i="28"/>
  <c r="F76" i="20"/>
  <c r="J28" i="28"/>
  <c r="E61" i="20"/>
  <c r="I13" i="28"/>
  <c r="E63" i="20"/>
  <c r="I15" i="28"/>
  <c r="E64" i="20"/>
  <c r="I16" i="28"/>
  <c r="E65" i="20"/>
  <c r="I17" i="28"/>
  <c r="E67" i="20"/>
  <c r="I19" i="28"/>
  <c r="E69" i="20"/>
  <c r="I21" i="28"/>
  <c r="E70" i="20"/>
  <c r="I22" i="28"/>
  <c r="E71" i="20"/>
  <c r="I23" i="28"/>
  <c r="E73" i="20"/>
  <c r="I25" i="28"/>
  <c r="E74" i="20"/>
  <c r="I26" i="28"/>
  <c r="E75" i="20"/>
  <c r="I27" i="28"/>
  <c r="E31" i="28"/>
  <c r="E31" i="20"/>
  <c r="R39" i="27"/>
  <c r="I30" i="20" s="1"/>
  <c r="E60" i="20"/>
  <c r="I12" i="28"/>
  <c r="E32" i="28"/>
  <c r="E32" i="20"/>
  <c r="U47" i="27"/>
  <c r="U46" i="27"/>
  <c r="U45" i="27"/>
  <c r="U44" i="27"/>
  <c r="U43" i="27"/>
  <c r="U42" i="27"/>
  <c r="U41" i="27"/>
  <c r="U40" i="27"/>
  <c r="S47" i="27"/>
  <c r="S46" i="27"/>
  <c r="S45" i="27"/>
  <c r="S44" i="27"/>
  <c r="S43" i="27"/>
  <c r="S42" i="27"/>
  <c r="S41" i="27"/>
  <c r="S40" i="27"/>
  <c r="T47" i="27"/>
  <c r="T46" i="27"/>
  <c r="T45" i="27"/>
  <c r="T44" i="27"/>
  <c r="T43" i="27"/>
  <c r="T42" i="27"/>
  <c r="T41" i="27"/>
  <c r="T40" i="27"/>
  <c r="R46" i="27"/>
  <c r="R44" i="27"/>
  <c r="R42" i="27"/>
  <c r="R40" i="27"/>
  <c r="R47" i="27"/>
  <c r="R45" i="27"/>
  <c r="R43" i="27"/>
  <c r="R41" i="27"/>
  <c r="I29" i="28" l="1"/>
  <c r="I29" i="20"/>
  <c r="K31" i="20"/>
  <c r="K31" i="28"/>
  <c r="J31" i="20"/>
  <c r="J31" i="28"/>
  <c r="L31" i="20"/>
  <c r="L31" i="28"/>
  <c r="J30" i="20"/>
  <c r="J30" i="28"/>
  <c r="L30" i="20"/>
  <c r="L30" i="28"/>
  <c r="K32" i="20"/>
  <c r="K32" i="28"/>
  <c r="J32" i="20"/>
  <c r="J32" i="28"/>
  <c r="L32" i="20"/>
  <c r="L32" i="28"/>
  <c r="K30" i="20"/>
  <c r="K30" i="28"/>
  <c r="I32" i="28"/>
  <c r="I32" i="20"/>
  <c r="I31" i="28"/>
  <c r="I31" i="20"/>
  <c r="I30"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UBA (Schwanemann)</author>
  </authors>
  <commentList>
    <comment ref="B11" authorId="0" shapeId="0" xr:uid="{3F14F14F-16BD-41A5-BA10-DBEDC1697FD4}">
      <text>
        <r>
          <rPr>
            <b/>
            <sz val="9"/>
            <color indexed="81"/>
            <rFont val="Segoe UI"/>
            <family val="2"/>
          </rPr>
          <t>UBA (Schwanemann):</t>
        </r>
        <r>
          <rPr>
            <sz val="9"/>
            <color indexed="81"/>
            <rFont val="Segoe UI"/>
            <family val="2"/>
          </rPr>
          <t xml:space="preserve">
Kupferthiocyanat und Kupferpyrithion mut Appliaktionsfaktor 0,9 oder 0.95?</t>
        </r>
      </text>
    </comment>
  </commentList>
</comments>
</file>

<file path=xl/sharedStrings.xml><?xml version="1.0" encoding="utf-8"?>
<sst xmlns="http://schemas.openxmlformats.org/spreadsheetml/2006/main" count="283" uniqueCount="187">
  <si>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</si>
  <si>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</si>
  <si>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</si>
  <si>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</si>
  <si>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</si>
  <si>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</si>
  <si>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</si>
  <si>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</si>
  <si>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Environmental Emission Scenarios for Product Type 21: Biocides used as [name]</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</si>
  <si>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</si>
  <si>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</si>
  <si>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</si>
  <si>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</si>
  <si>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</si>
  <si>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</si>
  <si>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</si>
  <si>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</si>
  <si>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</si>
  <si>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</si>
  <si>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</si>
  <si>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</si>
  <si>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</si>
  <si>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</si>
  <si>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</si>
  <si>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</si>
  <si>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</si>
  <si>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</si>
  <si>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</si>
  <si>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</si>
  <si>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</si>
  <si>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</si>
  <si>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</si>
  <si>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</si>
  <si>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</si>
  <si>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</si>
  <si>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</si>
  <si>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</si>
  <si>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</si>
  <si>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</si>
  <si>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</si>
  <si>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</si>
  <si>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</si>
  <si>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</si>
  <si>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</si>
  <si>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</si>
  <si>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</si>
  <si>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</si>
  <si>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</si>
  <si>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</si>
  <si>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</si>
  <si>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</si>
  <si>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</si>
  <si>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</si>
  <si>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</si>
  <si>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</si>
  <si>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</si>
  <si>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</si>
  <si>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</si>
  <si>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</si>
  <si>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</si>
  <si>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</si>
  <si>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</si>
  <si>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</si>
  <si>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</si>
  <si>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</si>
  <si>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</si>
  <si>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</si>
  <si>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</si>
  <si>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</si>
  <si>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</si>
  <si>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</si>
  <si>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</si>
  <si>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</si>
  <si>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</si>
  <si>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</si>
  <si>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</si>
  <si>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</si>
  <si>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</si>
  <si>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</si>
  <si>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</si>
  <si>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</si>
  <si>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</si>
  <si>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</si>
  <si>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</si>
  <si>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</si>
  <si>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</si>
  <si>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</si>
  <si>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</si>
  <si>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</si>
  <si>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</si>
  <si>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</si>
  <si>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</si>
  <si>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</si>
  <si>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</si>
  <si>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</si>
  <si>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</si>
  <si>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</si>
  <si>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</si>
  <si>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</si>
  <si>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</si>
  <si>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</si>
  <si>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</si>
  <si>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</si>
  <si>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</si>
  <si>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</si>
  <si>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</si>
  <si>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</si>
  <si>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</si>
  <si>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</si>
  <si>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</si>
  <si>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</si>
  <si>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</si>
  <si>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PECsusp surrounding
marina
(average,
µg/g dw)
</t>
  </si>
  <si>
    <t xml:space="preserve">PECsw inside marina
(average, 
dissolved, µg/l)
</t>
  </si>
  <si>
    <t xml:space="preserve">
PECsusp inside 
marina
(average,
 µg/g dw)
</t>
  </si>
  <si>
    <t xml:space="preserve">PECsw surrounding
marina
(average,
dissolved, µg/l)
</t>
  </si>
  <si>
    <t xml:space="preserve">PNECsw Inside Marina (µg/l)
</t>
  </si>
  <si>
    <t xml:space="preserve">PNECsed Inside Marina (µg/g dw)
</t>
  </si>
  <si>
    <t xml:space="preserve">PNECsw Surrounding Marina (µg/l)
</t>
  </si>
  <si>
    <t xml:space="preserve">PNECsed Surrounding Marina (µg/g dw)
</t>
  </si>
  <si>
    <t xml:space="preserve">PEC:PNEC 
SW 
inside marina 
</t>
  </si>
  <si>
    <t xml:space="preserve">PEC:PNEC
Sed 
inside marina 
</t>
  </si>
  <si>
    <t xml:space="preserve">PEC:PNEC
SW surrounding marina 
</t>
  </si>
  <si>
    <t xml:space="preserve">PEC:PNEC
Sed surrounding marina 
</t>
  </si>
  <si>
    <t xml:space="preserve">PECsed inside marina
susp. 
(average, ug/g dw)
</t>
  </si>
  <si>
    <t xml:space="preserve">PECsed surrounding marina
susp. 
(average, ug/g dw)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</si>
  <si>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</si>
  <si>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</si>
  <si>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</si>
  <si>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</si>
  <si>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PEC:PNEC Susp. inside marina 
</t>
  </si>
  <si>
    <t xml:space="preserve">PEC:PNEC SW surrounding marina 
</t>
  </si>
  <si>
    <t xml:space="preserve">PEC:PNEC Susp.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</si>
  <si>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</si>
  <si>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</si>
  <si>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</si>
  <si>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</si>
  <si>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</si>
  <si>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</si>
  <si>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</si>
  <si>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Tralopyril</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</si>
  <si>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</si>
  <si>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</si>
  <si>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</si>
  <si>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</si>
  <si>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</si>
  <si>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</si>
  <si>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</si>
  <si>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</si>
  <si>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</si>
  <si>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</si>
  <si>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</si>
  <si>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Mean</t>
  </si>
  <si>
    <t>Median</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</si>
  <si>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</si>
  <si>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</si>
  <si>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</si>
  <si>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</si>
  <si>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tralopyril v1.1 [XLSX] downloaded form ECHA website; removed EU freshwater region and associated parameters; PEC calculation adapted to the DE dataset (WSA correction)</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</si>
  <si>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</si>
  <si>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</si>
  <si>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</si>
  <si>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r>
      <t>WSA</t>
    </r>
    <r>
      <rPr>
        <vertAlign val="subscript"/>
        <sz val="10"/>
        <color rgb="FF0070C0"/>
        <rFont val="Verdana"/>
        <family val="2"/>
      </rPr>
      <t>aggregated</t>
    </r>
  </si>
  <si>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</si>
  <si>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</si>
  <si>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</si>
  <si>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</si>
  <si>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</si>
  <si>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</si>
  <si>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</si>
  <si>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</si>
  <si>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</si>
  <si>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</si>
  <si>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</si>
  <si>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</si>
  <si>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</si>
  <si>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</si>
  <si>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</si>
  <si>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</si>
  <si>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</si>
  <si>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German scenario for inland water marinas |Risk Characterisation</t>
  </si>
  <si>
    <t>German scenario for inland water marinas | Average PEC  values and Risk Characterisation</t>
  </si>
  <si>
    <t>Version Final 1.0</t>
  </si>
  <si>
    <r>
      <t xml:space="preserve">Median </t>
    </r>
    <r>
      <rPr>
        <i/>
        <sz val="10"/>
        <color theme="1"/>
        <rFont val="Verdana"/>
        <family val="2"/>
      </rPr>
      <t>(Endpoint for risk assessment)</t>
    </r>
  </si>
  <si>
    <t>Inland water Scenario</t>
  </si>
  <si>
    <t>Inland water  Scenario</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</si>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</sst>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sz val="16"/>
      <color theme="1"/>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1"/>
      <color rgb="FF000000"/>
      <name val="Verdana"/>
      <family val="2"/>
    </font>
    <font>
      <sz val="9"/>
      <color indexed="81"/>
      <name val="Segoe UI"/>
      <family val="2"/>
    </font>
    <font>
      <i/>
      <sz val="10"/>
      <name val="Verdana"/>
      <family val="2"/>
    </font>
    <font>
      <b/>
      <sz val="9"/>
      <color indexed="81"/>
      <name val="Segoe UI"/>
      <family val="2"/>
    </font>
    <font>
      <vertAlign val="subscript"/>
      <sz val="10"/>
      <color rgb="FF0070C0"/>
      <name val="Verdana"/>
      <family val="2"/>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lightTrellis">
        <fgColor rgb="FFFFFFFF"/>
        <bgColor rgb="FFFFC000"/>
      </patternFill>
    </fill>
  </fills>
  <borders count="23">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4"/>
      </top>
      <bottom/>
      <diagonal/>
    </border>
  </borders>
  <cellStyleXfs count="30">
    <xf numFmtId="0" fontId="0" fillId="5" borderId="0">
      <alignment vertical="center"/>
    </xf>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4" fillId="6" borderId="0">
      <alignment horizontal="center"/>
    </xf>
    <xf numFmtId="0" fontId="15" fillId="7" borderId="0">
      <alignment horizontal="center" vertical="center" wrapText="1"/>
    </xf>
    <xf numFmtId="0" fontId="27" fillId="7" borderId="0">
      <alignment horizontal="center" vertical="center" wrapText="1"/>
    </xf>
    <xf numFmtId="0" fontId="16" fillId="10" borderId="0" applyAlignment="0"/>
    <xf numFmtId="0" fontId="5" fillId="8" borderId="6">
      <alignment horizontal="left" vertical="center"/>
    </xf>
    <xf numFmtId="2" fontId="5" fillId="9" borderId="18">
      <alignment horizontal="center" vertical="center"/>
    </xf>
    <xf numFmtId="0" fontId="5" fillId="11" borderId="0">
      <alignment horizontal="center" vertical="center"/>
    </xf>
    <xf numFmtId="0" fontId="15" fillId="12" borderId="0">
      <alignment horizontal="center" vertical="center" wrapText="1"/>
    </xf>
    <xf numFmtId="0" fontId="1" fillId="0" borderId="0"/>
    <xf numFmtId="0" fontId="24" fillId="0" borderId="1" applyNumberFormat="0" applyFill="0" applyAlignment="0" applyProtection="0"/>
    <xf numFmtId="0" fontId="16" fillId="13" borderId="0" applyAlignment="0"/>
    <xf numFmtId="0" fontId="25" fillId="14" borderId="0">
      <alignment horizontal="center" vertical="center" wrapText="1"/>
    </xf>
    <xf numFmtId="0" fontId="28" fillId="16" borderId="0" applyNumberFormat="0" applyBorder="0" applyProtection="0">
      <alignment vertical="center"/>
    </xf>
  </cellStyleXfs>
  <cellXfs count="147">
    <xf numFmtId="0" fontId="0" fillId="5" borderId="0" xfId="0">
      <alignment vertical="center"/>
    </xf>
    <xf numFmtId="0" fontId="0" fillId="5" borderId="0" xfId="0" applyFill="1">
      <alignment vertical="center"/>
    </xf>
    <xf numFmtId="0" fontId="13" fillId="5" borderId="0" xfId="0" applyFont="1" applyFill="1">
      <alignment vertical="center"/>
    </xf>
    <xf numFmtId="0" fontId="0" fillId="5" borderId="0" xfId="0" applyFill="1" applyAlignment="1">
      <alignment vertical="center"/>
    </xf>
    <xf numFmtId="0" fontId="3" fillId="5" borderId="0" xfId="0" applyFont="1" applyFill="1">
      <alignment vertical="center"/>
    </xf>
    <xf numFmtId="0" fontId="0" fillId="5" borderId="0" xfId="0" applyFont="1" applyFill="1">
      <alignment vertical="center"/>
    </xf>
    <xf numFmtId="0" fontId="4" fillId="5" borderId="0" xfId="0" applyFont="1" applyFill="1">
      <alignment vertical="center"/>
    </xf>
    <xf numFmtId="0" fontId="2" fillId="5" borderId="2" xfId="2" applyFill="1"/>
    <xf numFmtId="0" fontId="15" fillId="7" borderId="0" xfId="18">
      <alignment horizontal="center" vertical="center" wrapText="1"/>
    </xf>
    <xf numFmtId="0" fontId="27" fillId="7" borderId="0" xfId="19">
      <alignment horizontal="center" vertical="center" wrapText="1"/>
    </xf>
    <xf numFmtId="0" fontId="27" fillId="7" borderId="0" xfId="19" applyBorder="1">
      <alignment horizontal="center" vertical="center" wrapText="1"/>
    </xf>
    <xf numFmtId="0" fontId="27" fillId="7" borderId="8" xfId="19" applyBorder="1">
      <alignment horizontal="center" vertical="center" wrapText="1"/>
    </xf>
    <xf numFmtId="0" fontId="0" fillId="5" borderId="0" xfId="0" applyFill="1" applyBorder="1">
      <alignment vertical="center"/>
    </xf>
    <xf numFmtId="0" fontId="0" fillId="5" borderId="8" xfId="0" applyFill="1" applyBorder="1">
      <alignment vertical="center"/>
    </xf>
    <xf numFmtId="0" fontId="16" fillId="10" borderId="0" xfId="20"/>
    <xf numFmtId="0" fontId="0" fillId="7" borderId="0" xfId="0" applyFill="1" applyBorder="1" applyAlignment="1" applyProtection="1">
      <alignment vertical="center"/>
      <protection locked="0"/>
    </xf>
    <xf numFmtId="0" fontId="0" fillId="5" borderId="0" xfId="0" applyFill="1" applyAlignment="1">
      <alignment wrapText="1"/>
    </xf>
    <xf numFmtId="0" fontId="19" fillId="5" borderId="0" xfId="0" applyFont="1" applyFill="1">
      <alignment vertical="center"/>
    </xf>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alignment vertical="center"/>
    </xf>
    <xf numFmtId="0" fontId="19" fillId="5" borderId="0" xfId="0" applyFont="1" applyFill="1" applyBorder="1" applyAlignment="1">
      <alignment horizontal="center"/>
    </xf>
    <xf numFmtId="0" fontId="19" fillId="5" borderId="0" xfId="0" applyFont="1" applyFill="1" applyBorder="1" applyAlignment="1">
      <alignment horizontal="center" vertical="center"/>
    </xf>
    <xf numFmtId="0" fontId="22"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2"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alignment vertical="center"/>
    </xf>
    <xf numFmtId="0" fontId="9" fillId="5" borderId="1" xfId="1" applyFill="1"/>
    <xf numFmtId="0" fontId="0" fillId="5" borderId="9" xfId="0" applyFill="1" applyBorder="1">
      <alignment vertical="center"/>
    </xf>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7" fillId="6" borderId="12" xfId="0" applyFont="1" applyFill="1" applyBorder="1" applyAlignment="1" applyProtection="1">
      <alignment vertical="center"/>
      <protection locked="0"/>
    </xf>
    <xf numFmtId="0" fontId="17" fillId="6" borderId="13" xfId="0" applyFont="1" applyFill="1" applyBorder="1" applyAlignment="1" applyProtection="1">
      <alignment vertical="center"/>
      <protection locked="0"/>
    </xf>
    <xf numFmtId="0" fontId="17"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3" fillId="5" borderId="0" xfId="0" applyFont="1" applyFill="1">
      <alignment vertical="center"/>
    </xf>
    <xf numFmtId="0" fontId="9" fillId="5" borderId="1" xfId="12" applyFill="1" applyAlignment="1">
      <alignment horizontal="left"/>
    </xf>
    <xf numFmtId="0" fontId="2" fillId="5" borderId="2" xfId="2" applyFill="1" applyAlignment="1">
      <alignment horizontal="left"/>
    </xf>
    <xf numFmtId="0" fontId="27" fillId="5" borderId="0" xfId="19" applyFill="1" applyAlignment="1">
      <alignment horizontal="left" vertical="center" wrapText="1"/>
    </xf>
    <xf numFmtId="0" fontId="5" fillId="0" borderId="0" xfId="8"/>
    <xf numFmtId="0" fontId="11" fillId="5" borderId="0" xfId="16" applyFill="1"/>
    <xf numFmtId="0" fontId="11" fillId="5" borderId="0" xfId="16" applyFill="1" applyAlignment="1">
      <alignment wrapText="1"/>
    </xf>
    <xf numFmtId="0" fontId="5" fillId="11" borderId="0" xfId="23">
      <alignment horizontal="center" vertical="center"/>
    </xf>
    <xf numFmtId="11" fontId="15" fillId="7" borderId="0" xfId="18" applyNumberFormat="1">
      <alignment horizontal="center" vertical="center" wrapText="1"/>
    </xf>
    <xf numFmtId="0" fontId="25" fillId="14" borderId="0" xfId="28">
      <alignment horizontal="center" vertical="center" wrapText="1"/>
    </xf>
    <xf numFmtId="0" fontId="0" fillId="11" borderId="0" xfId="23" applyFont="1">
      <alignment horizontal="center" vertical="center"/>
    </xf>
    <xf numFmtId="0" fontId="26" fillId="5" borderId="0" xfId="0" applyFont="1" applyAlignment="1"/>
    <xf numFmtId="0" fontId="23" fillId="5" borderId="0" xfId="0" applyFont="1">
      <alignment vertical="center"/>
    </xf>
    <xf numFmtId="0" fontId="26" fillId="5" borderId="0" xfId="0" applyFont="1">
      <alignment vertical="center"/>
    </xf>
    <xf numFmtId="0" fontId="0" fillId="5" borderId="6" xfId="0" applyBorder="1">
      <alignment vertical="center"/>
    </xf>
    <xf numFmtId="0" fontId="26" fillId="5" borderId="0" xfId="0" applyFont="1" applyAlignment="1">
      <alignment horizontal="center"/>
    </xf>
    <xf numFmtId="0" fontId="0" fillId="5" borderId="0" xfId="0">
      <alignment vertical="center"/>
    </xf>
    <xf numFmtId="0" fontId="0" fillId="5" borderId="6" xfId="0" applyBorder="1" applyAlignment="1">
      <alignment wrapText="1"/>
    </xf>
    <xf numFmtId="0" fontId="0" fillId="15" borderId="0" xfId="0" applyFill="1">
      <alignment vertical="center"/>
    </xf>
    <xf numFmtId="0" fontId="26" fillId="15" borderId="0" xfId="0" applyFont="1" applyFill="1">
      <alignment vertical="center"/>
    </xf>
    <xf numFmtId="0" fontId="26" fillId="5" borderId="0" xfId="0" applyFont="1" applyFill="1" applyAlignment="1"/>
    <xf numFmtId="0" fontId="16" fillId="5" borderId="0" xfId="20" applyFill="1" applyBorder="1"/>
    <xf numFmtId="0" fontId="16" fillId="5" borderId="0" xfId="20" applyFill="1" applyBorder="1" applyAlignment="1">
      <alignment horizontal="right"/>
    </xf>
    <xf numFmtId="0" fontId="16" fillId="5" borderId="0" xfId="20" applyFill="1" applyBorder="1" applyAlignment="1">
      <alignment horizontal="center"/>
    </xf>
    <xf numFmtId="0" fontId="0" fillId="5" borderId="0" xfId="0" applyAlignment="1"/>
    <xf numFmtId="0" fontId="0" fillId="5" borderId="0" xfId="0" applyBorder="1">
      <alignment vertical="center"/>
    </xf>
    <xf numFmtId="0" fontId="0" fillId="5" borderId="0" xfId="0" applyFont="1" applyBorder="1">
      <alignment vertical="center"/>
    </xf>
    <xf numFmtId="0" fontId="0" fillId="5" borderId="0" xfId="0" applyBorder="1" applyAlignment="1">
      <alignment wrapText="1"/>
    </xf>
    <xf numFmtId="11" fontId="15" fillId="12" borderId="0" xfId="24" applyNumberFormat="1">
      <alignment horizontal="center" vertical="center" wrapText="1"/>
    </xf>
    <xf numFmtId="11" fontId="16" fillId="10" borderId="0" xfId="20" applyNumberFormat="1" applyAlignment="1">
      <alignment horizontal="center" vertical="center"/>
    </xf>
    <xf numFmtId="11" fontId="15" fillId="7" borderId="0" xfId="18" applyNumberFormat="1" applyBorder="1">
      <alignment horizontal="center" vertical="center" wrapText="1"/>
    </xf>
    <xf numFmtId="11" fontId="16" fillId="10" borderId="0" xfId="20" applyNumberFormat="1" applyBorder="1" applyAlignment="1">
      <alignment horizontal="center"/>
    </xf>
    <xf numFmtId="0" fontId="0" fillId="15" borderId="0" xfId="0" applyFill="1" applyBorder="1">
      <alignment vertical="center"/>
    </xf>
    <xf numFmtId="0" fontId="0" fillId="15" borderId="0" xfId="0" applyFill="1" applyBorder="1" applyAlignment="1">
      <alignment wrapText="1"/>
    </xf>
    <xf numFmtId="0" fontId="23" fillId="5" borderId="0" xfId="0" applyFont="1" applyAlignment="1"/>
    <xf numFmtId="14" fontId="0" fillId="5" borderId="0" xfId="0" applyNumberFormat="1">
      <alignment vertical="center"/>
    </xf>
    <xf numFmtId="0" fontId="0" fillId="5" borderId="0" xfId="0">
      <alignment vertical="center"/>
    </xf>
    <xf numFmtId="0" fontId="27" fillId="7" borderId="0" xfId="19" applyAlignment="1">
      <alignment horizontal="left" vertical="center" wrapText="1"/>
    </xf>
    <xf numFmtId="0" fontId="27"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5" fillId="7" borderId="0" xfId="18" applyAlignment="1">
      <alignment horizontal="left" vertical="center" wrapText="1"/>
    </xf>
    <xf numFmtId="0" fontId="27" fillId="7" borderId="0" xfId="19" applyBorder="1" applyAlignment="1">
      <alignment horizontal="left" vertical="center" wrapText="1"/>
    </xf>
    <xf numFmtId="0" fontId="27" fillId="7" borderId="0" xfId="19" applyAlignment="1">
      <alignment horizontal="center" vertical="center" wrapText="1"/>
    </xf>
    <xf numFmtId="0" fontId="0" fillId="5" borderId="0" xfId="0" applyBorder="1" applyAlignment="1">
      <alignment horizontal="left"/>
    </xf>
    <xf numFmtId="11" fontId="0" fillId="5" borderId="0" xfId="0" applyNumberFormat="1" applyBorder="1">
      <alignment vertical="center"/>
    </xf>
    <xf numFmtId="0" fontId="0" fillId="5" borderId="6" xfId="0" applyBorder="1" applyAlignment="1">
      <alignment horizontal="center" wrapText="1"/>
    </xf>
    <xf numFmtId="0" fontId="27" fillId="7" borderId="0" xfId="19" applyAlignment="1">
      <alignment horizontal="left" vertic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0" fillId="5" borderId="6" xfId="0" applyBorder="1" applyAlignment="1">
      <alignment vertical="center"/>
    </xf>
    <xf numFmtId="0" fontId="5" fillId="8" borderId="6" xfId="21" applyAlignment="1">
      <alignment horizontal="center"/>
    </xf>
    <xf numFmtId="0" fontId="27" fillId="7" borderId="0" xfId="19" applyAlignment="1">
      <alignment horizontal="right"/>
    </xf>
    <xf numFmtId="0" fontId="27" fillId="7" borderId="0" xfId="19" applyAlignment="1">
      <alignment horizontal="center"/>
    </xf>
    <xf numFmtId="0" fontId="27" fillId="7" borderId="0" xfId="19" applyAlignment="1">
      <alignment horizontal="right" vertical="center"/>
    </xf>
    <xf numFmtId="0" fontId="27" fillId="7" borderId="7" xfId="19" applyBorder="1" applyAlignment="1">
      <alignment horizontal="left" vertical="center" wrapText="1"/>
    </xf>
    <xf numFmtId="0" fontId="28" fillId="16" borderId="0" xfId="29" applyBorder="1" applyAlignment="1">
      <alignment vertical="center"/>
    </xf>
    <xf numFmtId="0" fontId="0" fillId="5" borderId="0" xfId="0" applyAlignment="1">
      <alignment horizontal="left" vertical="center" wrapText="1"/>
    </xf>
    <xf numFmtId="0" fontId="0" fillId="5" borderId="0" xfId="0" applyAlignment="1">
      <alignment vertical="top"/>
    </xf>
    <xf numFmtId="14" fontId="0" fillId="5" borderId="0" xfId="0" applyNumberFormat="1" applyAlignment="1">
      <alignment vertical="top"/>
    </xf>
    <xf numFmtId="0" fontId="9" fillId="5" borderId="1" xfId="12" applyFill="1"/>
    <xf numFmtId="0" fontId="5" fillId="11" borderId="0" xfId="23" applyAlignment="1">
      <alignment vertical="center"/>
    </xf>
    <xf numFmtId="2" fontId="0" fillId="11" borderId="0" xfId="23" applyNumberFormat="1" applyFont="1">
      <alignment horizontal="center" vertical="center"/>
    </xf>
    <xf numFmtId="0" fontId="0" fillId="5" borderId="0" xfId="0" applyAlignment="1">
      <alignment horizontal="left" vertical="top" wrapText="1"/>
    </xf>
    <xf numFmtId="0" fontId="16" fillId="10" borderId="0" xfId="20" applyAlignment="1">
      <alignment horizontal="right"/>
    </xf>
    <xf numFmtId="0" fontId="16" fillId="10" borderId="0" xfId="20" applyAlignment="1">
      <alignment horizontal="right"/>
    </xf>
    <xf numFmtId="0" fontId="0" fillId="5" borderId="20" xfId="0" applyBorder="1" applyAlignment="1">
      <alignment horizontal="center" vertical="center" textRotation="90" wrapText="1"/>
    </xf>
    <xf numFmtId="11" fontId="29" fillId="17" borderId="0" xfId="23" applyNumberFormat="1" applyFont="1" applyFill="1" applyBorder="1">
      <alignment horizontal="center" vertical="center"/>
    </xf>
    <xf numFmtId="0" fontId="16" fillId="0" borderId="0" xfId="0" applyFont="1" applyFill="1">
      <alignment vertical="center"/>
    </xf>
    <xf numFmtId="0" fontId="0" fillId="0" borderId="0" xfId="0" applyFill="1">
      <alignment vertical="center"/>
    </xf>
    <xf numFmtId="14" fontId="16" fillId="0" borderId="0" xfId="0" applyNumberFormat="1" applyFont="1" applyFill="1" applyAlignment="1">
      <alignment vertical="top"/>
    </xf>
    <xf numFmtId="0" fontId="28" fillId="16" borderId="22" xfId="29" applyBorder="1" applyAlignment="1">
      <alignment vertical="center"/>
    </xf>
    <xf numFmtId="0" fontId="0" fillId="5" borderId="0" xfId="0" applyAlignment="1">
      <alignment vertical="center" wrapText="1"/>
    </xf>
    <xf numFmtId="0" fontId="9" fillId="5" borderId="1" xfId="1" applyFill="1" applyAlignment="1">
      <alignment horizontal="left"/>
    </xf>
    <xf numFmtId="0" fontId="16" fillId="0" borderId="0" xfId="0" applyFont="1" applyFill="1" applyAlignment="1">
      <alignment horizontal="left" vertical="top" wrapText="1"/>
    </xf>
    <xf numFmtId="0" fontId="0" fillId="5" borderId="0" xfId="0" applyAlignment="1">
      <alignment horizontal="left" vertical="top" wrapText="1"/>
    </xf>
    <xf numFmtId="0" fontId="9" fillId="5" borderId="1" xfId="12" applyFill="1" applyAlignment="1">
      <alignment horizontal="left" vertical="center"/>
    </xf>
    <xf numFmtId="0" fontId="0" fillId="5" borderId="0" xfId="0" applyFill="1" applyAlignment="1">
      <alignment horizontal="left" vertical="center" wrapText="1"/>
    </xf>
    <xf numFmtId="0" fontId="9" fillId="5" borderId="1" xfId="12" applyFill="1" applyAlignment="1">
      <alignment horizontal="left"/>
    </xf>
    <xf numFmtId="0" fontId="14" fillId="6" borderId="7" xfId="17" applyBorder="1" applyAlignment="1">
      <alignment horizontal="left"/>
    </xf>
    <xf numFmtId="0" fontId="14" fillId="6" borderId="0" xfId="17" applyBorder="1" applyAlignment="1">
      <alignment horizontal="left"/>
    </xf>
    <xf numFmtId="0" fontId="14" fillId="6" borderId="8" xfId="17" applyBorder="1" applyAlignment="1">
      <alignment horizontal="left"/>
    </xf>
    <xf numFmtId="0" fontId="2" fillId="0" borderId="2" xfId="2" applyAlignment="1">
      <alignment horizontal="left"/>
    </xf>
    <xf numFmtId="0" fontId="26" fillId="5" borderId="0" xfId="0" applyFont="1" applyAlignment="1">
      <alignment horizontal="left"/>
    </xf>
    <xf numFmtId="0" fontId="23" fillId="5" borderId="0" xfId="0" applyFont="1" applyAlignment="1">
      <alignment horizontal="left"/>
    </xf>
    <xf numFmtId="0" fontId="0" fillId="5" borderId="0" xfId="0" applyAlignment="1"/>
    <xf numFmtId="0" fontId="0" fillId="5" borderId="20" xfId="0" applyBorder="1" applyAlignment="1">
      <alignment horizontal="left"/>
    </xf>
    <xf numFmtId="0" fontId="0" fillId="5" borderId="21" xfId="0" applyBorder="1" applyAlignment="1">
      <alignment horizontal="left"/>
    </xf>
    <xf numFmtId="0" fontId="0" fillId="5" borderId="20" xfId="0" applyBorder="1" applyAlignment="1">
      <alignment vertical="center"/>
    </xf>
    <xf numFmtId="0" fontId="0" fillId="5" borderId="21" xfId="0" applyBorder="1" applyAlignment="1">
      <alignment vertical="center"/>
    </xf>
    <xf numFmtId="0" fontId="0" fillId="5" borderId="20" xfId="0" applyBorder="1" applyAlignment="1">
      <alignment horizontal="left" vertical="center"/>
    </xf>
    <xf numFmtId="0" fontId="0" fillId="5" borderId="21" xfId="0" applyBorder="1" applyAlignment="1">
      <alignment horizontal="left" vertical="center"/>
    </xf>
    <xf numFmtId="0" fontId="27" fillId="7" borderId="0" xfId="19" applyAlignment="1">
      <alignment horizontal="left" vertical="center"/>
    </xf>
    <xf numFmtId="0" fontId="16" fillId="10" borderId="0" xfId="20" applyBorder="1" applyAlignment="1">
      <alignment horizontal="right"/>
    </xf>
    <xf numFmtId="0" fontId="9" fillId="5" borderId="1" xfId="1" applyFill="1" applyAlignment="1">
      <alignment horizontal="left" wrapText="1"/>
    </xf>
    <xf numFmtId="0" fontId="14" fillId="6" borderId="0" xfId="17" applyAlignment="1">
      <alignment horizontal="left"/>
    </xf>
    <xf numFmtId="0" fontId="16"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5" fillId="7" borderId="0" xfId="18" applyNumberFormat="1" applyAlignment="1">
      <alignment horizontal="center"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9">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666668</xdr:colOff>
      <xdr:row>43</xdr:row>
      <xdr:rowOff>37346</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87917" y="1312333"/>
          <a:ext cx="9133334" cy="6038096"/>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A1:Z53"/>
  <sheetViews>
    <sheetView tabSelected="1" zoomScale="90" zoomScaleNormal="90" workbookViewId="0">
      <selection activeCell="B7" sqref="B7:P7"/>
    </sheetView>
  </sheetViews>
  <sheetFormatPr baseColWidth="10" defaultColWidth="9" defaultRowHeight="12.75" customHeight="1" x14ac:dyDescent="0.2"/>
  <cols>
    <col min="1" max="1" width="9" style="2"/>
    <col min="2" max="3" width="19.5" style="81" customWidth="1"/>
    <col min="4" max="16384" width="9" style="81"/>
  </cols>
  <sheetData>
    <row r="1" spans="2:16" s="2" customFormat="1" ht="12.75" customHeight="1" x14ac:dyDescent="0.2"/>
    <row r="2" spans="2:16" s="2" customFormat="1" ht="21" customHeight="1" thickBot="1" x14ac:dyDescent="0.35">
      <c r="B2" s="120" t="s">
        <v>91</v>
      </c>
      <c r="C2" s="120"/>
      <c r="D2" s="120"/>
      <c r="E2" s="120"/>
      <c r="F2" s="120"/>
      <c r="G2" s="120"/>
      <c r="H2" s="120"/>
      <c r="I2" s="120"/>
      <c r="J2" s="120"/>
      <c r="K2" s="120"/>
      <c r="L2" s="120"/>
      <c r="M2" s="120"/>
      <c r="N2" s="120"/>
      <c r="O2" s="120"/>
    </row>
    <row r="3" spans="2:16" ht="12.75" customHeight="1" thickTop="1" x14ac:dyDescent="0.2">
      <c r="B3" s="81" t="s">
        <v>182</v>
      </c>
    </row>
    <row r="4" spans="2:16" ht="12.75" customHeight="1" x14ac:dyDescent="0.2">
      <c r="B4" s="81" t="s">
        <v>140</v>
      </c>
    </row>
    <row r="5" spans="2:16" ht="12.75" customHeight="1" x14ac:dyDescent="0.2">
      <c r="B5" s="81" t="s">
        <v>154</v>
      </c>
    </row>
    <row r="7" spans="2:16" ht="80.099999999999994" customHeight="1" x14ac:dyDescent="0.2">
      <c r="B7" s="119" t="s">
        <v>155</v>
      </c>
      <c r="C7" s="119"/>
      <c r="D7" s="119"/>
      <c r="E7" s="119"/>
      <c r="F7" s="119"/>
      <c r="G7" s="119"/>
      <c r="H7" s="119"/>
      <c r="I7" s="119"/>
      <c r="J7" s="119"/>
      <c r="K7" s="119"/>
      <c r="L7" s="119"/>
      <c r="M7" s="119"/>
      <c r="N7" s="119"/>
      <c r="O7" s="119"/>
      <c r="P7" s="119"/>
    </row>
    <row r="11" spans="2:16" ht="12.75" customHeight="1" x14ac:dyDescent="0.2">
      <c r="B11" s="81" t="s">
        <v>133</v>
      </c>
    </row>
    <row r="12" spans="2:16" ht="12.75" customHeight="1" x14ac:dyDescent="0.2">
      <c r="B12" s="81" t="s">
        <v>7</v>
      </c>
    </row>
    <row r="13" spans="2:16" ht="12.75" customHeight="1" x14ac:dyDescent="0.2">
      <c r="B13" s="81" t="s">
        <v>5</v>
      </c>
    </row>
    <row r="15" spans="2:16" ht="12.75" customHeight="1" x14ac:dyDescent="0.2">
      <c r="B15" s="115" t="s">
        <v>156</v>
      </c>
      <c r="C15" s="116"/>
      <c r="D15" s="116"/>
      <c r="E15" s="116"/>
      <c r="F15" s="116"/>
    </row>
    <row r="16" spans="2:16" ht="12.75" customHeight="1" x14ac:dyDescent="0.2">
      <c r="B16" s="115" t="s">
        <v>186</v>
      </c>
      <c r="C16" s="115"/>
      <c r="D16" s="115"/>
      <c r="E16" s="115"/>
      <c r="F16" s="115"/>
      <c r="G16" s="115"/>
      <c r="H16" s="115"/>
      <c r="I16" s="115"/>
    </row>
    <row r="18" spans="2:26" ht="12.75" customHeight="1" x14ac:dyDescent="0.2">
      <c r="B18" s="81" t="s">
        <v>6</v>
      </c>
    </row>
    <row r="19" spans="2:26" ht="30.75" customHeight="1" x14ac:dyDescent="0.2"/>
    <row r="20" spans="2:26" ht="12.75" customHeight="1" x14ac:dyDescent="0.2">
      <c r="B20" s="105" t="s">
        <v>157</v>
      </c>
      <c r="C20" s="117">
        <v>43962</v>
      </c>
      <c r="D20" s="121" t="s">
        <v>158</v>
      </c>
      <c r="E20" s="121"/>
      <c r="F20" s="121"/>
      <c r="G20" s="121"/>
      <c r="H20" s="121"/>
      <c r="I20" s="121"/>
      <c r="J20" s="121"/>
      <c r="K20" s="121"/>
      <c r="L20" s="121"/>
      <c r="M20" s="121"/>
      <c r="N20" s="121"/>
      <c r="O20" s="121"/>
      <c r="P20" s="121"/>
      <c r="Q20" s="121"/>
      <c r="R20" s="121"/>
      <c r="S20" s="121"/>
      <c r="T20" s="121"/>
      <c r="U20" s="121"/>
      <c r="V20" s="121"/>
      <c r="W20" s="121"/>
      <c r="X20" s="121"/>
      <c r="Y20" s="121"/>
      <c r="Z20" s="121"/>
    </row>
    <row r="21" spans="2:26" ht="27.95" customHeight="1" x14ac:dyDescent="0.2">
      <c r="B21" s="105"/>
      <c r="C21" s="106"/>
      <c r="D21" s="122"/>
      <c r="E21" s="122"/>
      <c r="F21" s="122"/>
      <c r="G21" s="122"/>
      <c r="H21" s="122"/>
      <c r="I21" s="122"/>
      <c r="J21" s="122"/>
      <c r="K21" s="122"/>
      <c r="L21" s="122"/>
      <c r="M21" s="122"/>
      <c r="N21" s="122"/>
      <c r="O21" s="122"/>
      <c r="P21" s="122"/>
      <c r="Q21" s="122"/>
      <c r="R21" s="122"/>
      <c r="S21" s="122"/>
      <c r="T21" s="122"/>
      <c r="U21" s="122"/>
      <c r="V21" s="122"/>
      <c r="W21" s="122"/>
      <c r="X21" s="122"/>
      <c r="Y21" s="122"/>
      <c r="Z21" s="122"/>
    </row>
    <row r="22" spans="2:26" ht="12.75" customHeight="1" x14ac:dyDescent="0.2">
      <c r="B22" s="105"/>
      <c r="C22" s="106"/>
      <c r="D22" s="122"/>
      <c r="E22" s="122"/>
      <c r="F22" s="122"/>
      <c r="G22" s="122"/>
      <c r="H22" s="122"/>
      <c r="I22" s="122"/>
      <c r="J22" s="122"/>
      <c r="K22" s="122"/>
      <c r="L22" s="122"/>
      <c r="M22" s="122"/>
      <c r="N22" s="122"/>
      <c r="O22" s="122"/>
      <c r="P22" s="122"/>
      <c r="Q22" s="122"/>
      <c r="R22" s="122"/>
      <c r="S22" s="122"/>
      <c r="T22" s="122"/>
      <c r="U22" s="122"/>
      <c r="V22" s="122"/>
      <c r="W22" s="122"/>
      <c r="X22" s="122"/>
      <c r="Y22" s="122"/>
      <c r="Z22" s="122"/>
    </row>
    <row r="23" spans="2:26" ht="12.75" customHeight="1" x14ac:dyDescent="0.2">
      <c r="B23" s="105"/>
      <c r="C23" s="105"/>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2:26" ht="12.75" customHeight="1" x14ac:dyDescent="0.2">
      <c r="B24" s="105"/>
      <c r="C24" s="105"/>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2:26" ht="12.75" customHeight="1" x14ac:dyDescent="0.2">
      <c r="B25" s="105"/>
      <c r="C25" s="105"/>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2:26" ht="12.75" customHeight="1" x14ac:dyDescent="0.2">
      <c r="B26" s="105"/>
      <c r="C26" s="105"/>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2:26" ht="12.75" customHeight="1" x14ac:dyDescent="0.2">
      <c r="B27" s="105"/>
      <c r="C27" s="105"/>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2:26" ht="12.75" customHeight="1" x14ac:dyDescent="0.2">
      <c r="B28" s="105"/>
      <c r="C28" s="105"/>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2:26" ht="12.75" customHeight="1" x14ac:dyDescent="0.2">
      <c r="B29" s="105"/>
      <c r="C29" s="105"/>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2:26" ht="12.75" customHeight="1" x14ac:dyDescent="0.2">
      <c r="B30" s="105"/>
      <c r="C30" s="105"/>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2:26" ht="12.75" customHeight="1" x14ac:dyDescent="0.2">
      <c r="B31" s="105"/>
      <c r="C31" s="105"/>
      <c r="D31" s="110"/>
      <c r="E31" s="105"/>
      <c r="F31" s="105"/>
      <c r="G31" s="105"/>
      <c r="H31" s="105"/>
      <c r="I31" s="105"/>
      <c r="J31" s="105"/>
      <c r="K31" s="105"/>
      <c r="L31" s="105"/>
      <c r="M31" s="105"/>
      <c r="N31" s="105"/>
      <c r="O31" s="105"/>
      <c r="P31" s="105"/>
      <c r="Q31" s="105"/>
      <c r="R31" s="105"/>
      <c r="S31" s="105"/>
      <c r="T31" s="105"/>
      <c r="U31" s="105"/>
      <c r="V31" s="105"/>
      <c r="W31" s="105"/>
      <c r="X31" s="105"/>
      <c r="Y31" s="105"/>
      <c r="Z31" s="105"/>
    </row>
    <row r="32" spans="2:26" ht="12.75" customHeight="1" x14ac:dyDescent="0.2">
      <c r="B32" s="105"/>
      <c r="C32" s="105"/>
      <c r="D32" s="110"/>
      <c r="E32" s="105"/>
      <c r="F32" s="105"/>
      <c r="G32" s="105"/>
      <c r="H32" s="105"/>
      <c r="I32" s="105"/>
      <c r="J32" s="105"/>
      <c r="K32" s="105"/>
      <c r="L32" s="105"/>
      <c r="M32" s="105"/>
      <c r="N32" s="105"/>
      <c r="O32" s="105"/>
      <c r="P32" s="105"/>
      <c r="Q32" s="105"/>
      <c r="R32" s="105"/>
      <c r="S32" s="105"/>
      <c r="T32" s="105"/>
      <c r="U32" s="105"/>
      <c r="V32" s="105"/>
      <c r="W32" s="105"/>
      <c r="X32" s="105"/>
      <c r="Y32" s="105"/>
      <c r="Z32" s="105"/>
    </row>
    <row r="33" spans="2:26" ht="12.75" customHeight="1" x14ac:dyDescent="0.2">
      <c r="B33" s="105"/>
      <c r="C33" s="105"/>
      <c r="D33" s="110"/>
      <c r="E33" s="105"/>
      <c r="F33" s="105"/>
      <c r="G33" s="105"/>
      <c r="H33" s="105"/>
      <c r="I33" s="105"/>
      <c r="J33" s="105"/>
      <c r="K33" s="105"/>
      <c r="L33" s="105"/>
      <c r="M33" s="105"/>
      <c r="N33" s="105"/>
      <c r="O33" s="105"/>
      <c r="P33" s="105"/>
      <c r="Q33" s="105"/>
      <c r="R33" s="105"/>
      <c r="S33" s="105"/>
      <c r="T33" s="105"/>
      <c r="U33" s="105"/>
      <c r="V33" s="105"/>
      <c r="W33" s="105"/>
      <c r="X33" s="105"/>
      <c r="Y33" s="105"/>
      <c r="Z33" s="105"/>
    </row>
    <row r="34" spans="2:26" ht="12.75" customHeight="1" x14ac:dyDescent="0.2">
      <c r="B34" s="105"/>
      <c r="C34" s="105"/>
      <c r="D34" s="110"/>
      <c r="E34" s="105"/>
      <c r="F34" s="105"/>
      <c r="G34" s="105"/>
      <c r="H34" s="105"/>
      <c r="I34" s="105"/>
      <c r="J34" s="105"/>
      <c r="K34" s="105"/>
      <c r="L34" s="105"/>
      <c r="M34" s="105"/>
      <c r="N34" s="105"/>
      <c r="O34" s="105"/>
      <c r="P34" s="105"/>
      <c r="Q34" s="105"/>
      <c r="R34" s="105"/>
      <c r="S34" s="105"/>
      <c r="T34" s="105"/>
      <c r="U34" s="105"/>
      <c r="V34" s="105"/>
      <c r="W34" s="105"/>
      <c r="X34" s="105"/>
      <c r="Y34" s="105"/>
      <c r="Z34" s="105"/>
    </row>
    <row r="35" spans="2:26" ht="12.75" customHeight="1" x14ac:dyDescent="0.2">
      <c r="B35" s="105"/>
      <c r="C35" s="105"/>
      <c r="D35" s="110"/>
      <c r="E35" s="105"/>
      <c r="F35" s="105"/>
      <c r="G35" s="105"/>
      <c r="H35" s="105"/>
      <c r="I35" s="105"/>
      <c r="J35" s="105"/>
      <c r="K35" s="105"/>
      <c r="L35" s="105"/>
      <c r="M35" s="105"/>
      <c r="N35" s="105"/>
      <c r="O35" s="105"/>
      <c r="P35" s="105"/>
      <c r="Q35" s="105"/>
      <c r="R35" s="105"/>
      <c r="S35" s="105"/>
      <c r="T35" s="105"/>
      <c r="U35" s="105"/>
      <c r="V35" s="105"/>
      <c r="W35" s="105"/>
      <c r="X35" s="105"/>
      <c r="Y35" s="105"/>
      <c r="Z35" s="105"/>
    </row>
    <row r="36" spans="2:26" ht="12.75" customHeight="1" x14ac:dyDescent="0.2">
      <c r="B36" s="105"/>
      <c r="C36" s="105"/>
      <c r="D36" s="110"/>
      <c r="E36" s="105"/>
      <c r="F36" s="105"/>
      <c r="G36" s="105"/>
      <c r="H36" s="105"/>
      <c r="I36" s="105"/>
      <c r="J36" s="105"/>
      <c r="K36" s="105"/>
      <c r="L36" s="105"/>
      <c r="M36" s="105"/>
      <c r="N36" s="105"/>
      <c r="O36" s="105"/>
      <c r="P36" s="105"/>
      <c r="Q36" s="105"/>
      <c r="R36" s="105"/>
      <c r="S36" s="105"/>
      <c r="T36" s="105"/>
      <c r="U36" s="105"/>
      <c r="V36" s="105"/>
      <c r="W36" s="105"/>
      <c r="X36" s="105"/>
      <c r="Y36" s="105"/>
      <c r="Z36" s="105"/>
    </row>
    <row r="37" spans="2:26" ht="12.75" customHeight="1" x14ac:dyDescent="0.2">
      <c r="B37" s="105"/>
      <c r="C37" s="105"/>
      <c r="D37" s="110"/>
      <c r="E37" s="105"/>
      <c r="F37" s="105"/>
      <c r="G37" s="105"/>
      <c r="H37" s="105"/>
      <c r="I37" s="105"/>
      <c r="J37" s="105"/>
      <c r="K37" s="105"/>
      <c r="L37" s="105"/>
      <c r="M37" s="105"/>
      <c r="N37" s="105"/>
      <c r="O37" s="105"/>
      <c r="P37" s="105"/>
      <c r="Q37" s="105"/>
      <c r="R37" s="105"/>
      <c r="S37" s="105"/>
      <c r="T37" s="105"/>
      <c r="U37" s="105"/>
      <c r="V37" s="105"/>
      <c r="W37" s="105"/>
      <c r="X37" s="105"/>
      <c r="Y37" s="105"/>
      <c r="Z37" s="105"/>
    </row>
    <row r="38" spans="2:26" ht="12.75" customHeight="1" x14ac:dyDescent="0.2">
      <c r="B38" s="105"/>
      <c r="C38" s="105"/>
      <c r="D38" s="110"/>
      <c r="E38" s="105"/>
      <c r="F38" s="105"/>
      <c r="G38" s="105"/>
      <c r="H38" s="105"/>
      <c r="I38" s="105"/>
      <c r="J38" s="105"/>
      <c r="K38" s="105"/>
      <c r="L38" s="105"/>
      <c r="M38" s="105"/>
      <c r="N38" s="105"/>
      <c r="O38" s="105"/>
      <c r="P38" s="105"/>
      <c r="Q38" s="105"/>
      <c r="R38" s="105"/>
      <c r="S38" s="105"/>
      <c r="T38" s="105"/>
      <c r="U38" s="105"/>
      <c r="V38" s="105"/>
      <c r="W38" s="105"/>
      <c r="X38" s="105"/>
      <c r="Y38" s="105"/>
      <c r="Z38" s="105"/>
    </row>
    <row r="39" spans="2:26" ht="12.75" customHeight="1" x14ac:dyDescent="0.2">
      <c r="B39" s="105"/>
      <c r="C39" s="105"/>
      <c r="D39" s="110"/>
      <c r="E39" s="105"/>
      <c r="F39" s="105"/>
      <c r="G39" s="105"/>
      <c r="H39" s="105"/>
      <c r="I39" s="105"/>
      <c r="J39" s="105"/>
      <c r="K39" s="105"/>
      <c r="L39" s="105"/>
      <c r="M39" s="105"/>
      <c r="N39" s="105"/>
      <c r="O39" s="105"/>
      <c r="P39" s="105"/>
      <c r="Q39" s="105"/>
      <c r="R39" s="105"/>
      <c r="S39" s="105"/>
      <c r="T39" s="105"/>
      <c r="U39" s="105"/>
      <c r="V39" s="105"/>
      <c r="W39" s="105"/>
      <c r="X39" s="105"/>
      <c r="Y39" s="105"/>
      <c r="Z39" s="105"/>
    </row>
    <row r="40" spans="2:26" ht="12.75" customHeight="1" x14ac:dyDescent="0.2">
      <c r="B40" s="105"/>
      <c r="C40" s="105"/>
      <c r="D40" s="110"/>
      <c r="E40" s="105"/>
      <c r="F40" s="105"/>
      <c r="G40" s="105"/>
      <c r="H40" s="105"/>
      <c r="I40" s="105"/>
      <c r="J40" s="105"/>
      <c r="K40" s="105"/>
      <c r="L40" s="105"/>
      <c r="M40" s="105"/>
      <c r="N40" s="105"/>
      <c r="O40" s="105"/>
      <c r="P40" s="105"/>
      <c r="Q40" s="105"/>
      <c r="R40" s="105"/>
      <c r="S40" s="105"/>
      <c r="T40" s="105"/>
      <c r="U40" s="105"/>
      <c r="V40" s="105"/>
      <c r="W40" s="105"/>
      <c r="X40" s="105"/>
      <c r="Y40" s="105"/>
      <c r="Z40" s="105"/>
    </row>
    <row r="41" spans="2:26" ht="12.75" customHeight="1" x14ac:dyDescent="0.2">
      <c r="B41" s="105"/>
      <c r="C41" s="105"/>
      <c r="D41" s="110"/>
      <c r="E41" s="105"/>
      <c r="F41" s="105"/>
      <c r="G41" s="105"/>
      <c r="H41" s="105"/>
      <c r="I41" s="105"/>
      <c r="J41" s="105"/>
      <c r="K41" s="105"/>
      <c r="L41" s="105"/>
      <c r="M41" s="105"/>
      <c r="N41" s="105"/>
      <c r="O41" s="105"/>
      <c r="P41" s="105"/>
      <c r="Q41" s="105"/>
      <c r="R41" s="105"/>
      <c r="S41" s="105"/>
      <c r="T41" s="105"/>
      <c r="U41" s="105"/>
      <c r="V41" s="105"/>
      <c r="W41" s="105"/>
      <c r="X41" s="105"/>
      <c r="Y41" s="105"/>
      <c r="Z41" s="105"/>
    </row>
    <row r="42" spans="2:26" ht="12.75" customHeight="1" x14ac:dyDescent="0.2">
      <c r="B42" s="105"/>
      <c r="C42" s="105"/>
      <c r="D42" s="110"/>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2:26" ht="12.75" customHeight="1" x14ac:dyDescent="0.2">
      <c r="B43" s="105"/>
      <c r="C43" s="105"/>
      <c r="D43" s="110"/>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2:26" ht="12.75" customHeight="1" x14ac:dyDescent="0.2">
      <c r="B44" s="105"/>
      <c r="C44" s="105"/>
      <c r="D44" s="110"/>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2:26" ht="12.75" customHeight="1" x14ac:dyDescent="0.2">
      <c r="B45" s="105"/>
      <c r="C45" s="105"/>
      <c r="D45" s="110"/>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2:26" ht="12.75" customHeight="1" x14ac:dyDescent="0.2">
      <c r="B46" s="105"/>
      <c r="C46" s="105"/>
      <c r="D46" s="110"/>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2:26" ht="12.75" customHeight="1" x14ac:dyDescent="0.2">
      <c r="D47" s="104"/>
    </row>
    <row r="48" spans="2:26" ht="12.75" customHeight="1" x14ac:dyDescent="0.2">
      <c r="D48" s="104"/>
    </row>
    <row r="49" spans="4:4" ht="12.75" customHeight="1" x14ac:dyDescent="0.2">
      <c r="D49" s="104"/>
    </row>
    <row r="50" spans="4:4" ht="12.75" customHeight="1" x14ac:dyDescent="0.2">
      <c r="D50" s="104"/>
    </row>
    <row r="51" spans="4:4" ht="12.75" customHeight="1" x14ac:dyDescent="0.2">
      <c r="D51" s="104"/>
    </row>
    <row r="52" spans="4:4" ht="12.75" customHeight="1" x14ac:dyDescent="0.2">
      <c r="D52" s="104"/>
    </row>
    <row r="53" spans="4:4" ht="12.75" customHeight="1" x14ac:dyDescent="0.2">
      <c r="D53" s="104"/>
    </row>
  </sheetData>
  <mergeCells count="13">
    <mergeCell ref="D28:Z28"/>
    <mergeCell ref="D29:Z29"/>
    <mergeCell ref="D30:Z30"/>
    <mergeCell ref="D23:Z23"/>
    <mergeCell ref="D24:Z24"/>
    <mergeCell ref="D25:Z25"/>
    <mergeCell ref="D26:Z26"/>
    <mergeCell ref="D27:Z27"/>
    <mergeCell ref="B7:P7"/>
    <mergeCell ref="B2:O2"/>
    <mergeCell ref="D20:Z20"/>
    <mergeCell ref="D21:Z21"/>
    <mergeCell ref="D22:Z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90" zoomScaleNormal="90" workbookViewId="0">
      <selection activeCell="C3" sqref="C3:E3"/>
    </sheetView>
  </sheetViews>
  <sheetFormatPr baseColWidth="10" defaultColWidth="9" defaultRowHeight="12.75" x14ac:dyDescent="0.2"/>
  <cols>
    <col min="1" max="1" width="9" style="1"/>
    <col min="2" max="2" width="23.125" style="1" customWidth="1"/>
    <col min="3" max="16384" width="9" style="1"/>
  </cols>
  <sheetData>
    <row r="2" spans="2:26" ht="21" customHeight="1" thickBot="1" x14ac:dyDescent="0.25">
      <c r="B2" s="123" t="s">
        <v>107</v>
      </c>
      <c r="C2" s="123"/>
      <c r="D2" s="123"/>
      <c r="E2" s="123"/>
      <c r="F2" s="123"/>
      <c r="G2" s="123"/>
      <c r="H2" s="123"/>
      <c r="I2" s="123"/>
      <c r="J2" s="123"/>
    </row>
    <row r="3" spans="2:26" ht="13.5" thickTop="1" x14ac:dyDescent="0.2">
      <c r="B3" s="103" t="str">
        <f>Tooltype</f>
        <v>Calculator tool for the German scenario for inland water marinas</v>
      </c>
      <c r="C3" s="103"/>
      <c r="D3" s="103"/>
      <c r="E3" s="103"/>
    </row>
    <row r="5" spans="2:26" ht="27.95" customHeight="1" x14ac:dyDescent="0.2">
      <c r="B5" s="124" t="s">
        <v>159</v>
      </c>
      <c r="C5" s="124"/>
      <c r="D5" s="124"/>
      <c r="E5" s="124"/>
      <c r="F5" s="124"/>
      <c r="G5" s="124"/>
      <c r="H5" s="124"/>
      <c r="I5" s="124"/>
      <c r="J5" s="124"/>
      <c r="K5" s="124"/>
      <c r="L5" s="124"/>
      <c r="M5" s="124"/>
      <c r="N5" s="124"/>
      <c r="O5" s="124"/>
      <c r="P5" s="124"/>
      <c r="Q5" s="124"/>
      <c r="R5" s="124"/>
      <c r="S5" s="124"/>
      <c r="T5" s="124"/>
      <c r="U5" s="124"/>
      <c r="V5" s="124"/>
      <c r="W5" s="124"/>
      <c r="X5" s="124"/>
      <c r="Y5" s="124"/>
      <c r="Z5" s="124"/>
    </row>
    <row r="6" spans="2:26" x14ac:dyDescent="0.2">
      <c r="B6" s="124"/>
      <c r="C6" s="124"/>
      <c r="D6" s="124"/>
      <c r="E6" s="124"/>
      <c r="F6" s="124"/>
      <c r="G6" s="124"/>
      <c r="H6" s="124"/>
      <c r="I6" s="124"/>
      <c r="J6" s="124"/>
      <c r="K6" s="124"/>
      <c r="L6" s="124"/>
      <c r="M6" s="124"/>
      <c r="N6" s="124"/>
      <c r="O6" s="124"/>
      <c r="P6" s="124"/>
      <c r="Q6" s="124"/>
      <c r="R6" s="124"/>
      <c r="S6" s="124"/>
      <c r="T6" s="124"/>
      <c r="U6" s="124"/>
      <c r="V6" s="124"/>
      <c r="W6" s="124"/>
      <c r="X6" s="124"/>
      <c r="Y6" s="124"/>
      <c r="Z6" s="124"/>
    </row>
    <row r="7" spans="2:26" ht="12.75" customHeight="1" x14ac:dyDescent="0.2">
      <c r="B7" s="124" t="s">
        <v>141</v>
      </c>
      <c r="C7" s="124"/>
      <c r="D7" s="124"/>
      <c r="E7" s="124"/>
      <c r="F7" s="124"/>
      <c r="G7" s="124"/>
      <c r="H7" s="124"/>
      <c r="I7" s="124"/>
      <c r="J7" s="124"/>
      <c r="K7" s="124"/>
      <c r="L7" s="124"/>
      <c r="M7" s="124"/>
      <c r="N7" s="124"/>
      <c r="O7" s="124"/>
      <c r="P7" s="124"/>
      <c r="Q7" s="124"/>
      <c r="R7" s="124"/>
      <c r="S7" s="124"/>
      <c r="T7" s="124"/>
      <c r="U7" s="124"/>
      <c r="V7" s="124"/>
      <c r="W7" s="124"/>
      <c r="X7" s="124"/>
      <c r="Y7" s="124"/>
      <c r="Z7" s="124"/>
    </row>
    <row r="8" spans="2:26" x14ac:dyDescent="0.2">
      <c r="B8" s="124"/>
      <c r="C8" s="124"/>
      <c r="D8" s="124"/>
      <c r="E8" s="124"/>
      <c r="F8" s="124"/>
      <c r="G8" s="124"/>
      <c r="H8" s="124"/>
      <c r="I8" s="124"/>
      <c r="J8" s="124"/>
      <c r="K8" s="124"/>
      <c r="L8" s="124"/>
      <c r="M8" s="124"/>
      <c r="N8" s="124"/>
      <c r="O8" s="124"/>
      <c r="P8" s="124"/>
      <c r="Q8" s="124"/>
      <c r="R8" s="124"/>
      <c r="S8" s="124"/>
      <c r="T8" s="124"/>
      <c r="U8" s="124"/>
      <c r="V8" s="124"/>
      <c r="W8" s="124"/>
      <c r="X8" s="124"/>
      <c r="Y8" s="124"/>
      <c r="Z8" s="124"/>
    </row>
    <row r="9" spans="2:26" ht="12.75" customHeight="1" x14ac:dyDescent="0.2">
      <c r="B9" s="124" t="s">
        <v>142</v>
      </c>
      <c r="C9" s="124"/>
      <c r="D9" s="124"/>
      <c r="E9" s="124"/>
      <c r="F9" s="124"/>
      <c r="G9" s="124"/>
      <c r="H9" s="124"/>
      <c r="I9" s="124"/>
      <c r="J9" s="124"/>
      <c r="K9" s="124"/>
      <c r="L9" s="124"/>
      <c r="M9" s="124"/>
      <c r="N9" s="124"/>
      <c r="O9" s="124"/>
      <c r="P9" s="124"/>
      <c r="Q9" s="124"/>
      <c r="R9" s="124"/>
      <c r="S9" s="124"/>
      <c r="T9" s="124"/>
      <c r="U9" s="124"/>
      <c r="V9" s="124"/>
      <c r="W9" s="124"/>
      <c r="X9" s="124"/>
      <c r="Y9" s="124"/>
      <c r="Z9" s="124"/>
    </row>
    <row r="10" spans="2:26" x14ac:dyDescent="0.2">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spans="2:26" ht="27.95" customHeight="1" x14ac:dyDescent="0.2">
      <c r="B11" s="124" t="s">
        <v>150</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spans="2:26" x14ac:dyDescent="0.2">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2:26" ht="27.95" customHeight="1" x14ac:dyDescent="0.2">
      <c r="B13" s="124" t="s">
        <v>160</v>
      </c>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spans="2:26" x14ac:dyDescent="0.2">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spans="2:26" ht="27.95" customHeight="1" x14ac:dyDescent="0.2">
      <c r="B15" s="124" t="s">
        <v>151</v>
      </c>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spans="2:26" x14ac:dyDescent="0.2">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row>
    <row r="17" spans="2:26" ht="27.95" customHeight="1" x14ac:dyDescent="0.2">
      <c r="B17" s="124" t="s">
        <v>143</v>
      </c>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row>
    <row r="18" spans="2:26" x14ac:dyDescent="0.2">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row>
    <row r="19" spans="2:26" ht="27.95" customHeight="1" x14ac:dyDescent="0.2">
      <c r="B19" s="124" t="s">
        <v>144</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row>
    <row r="20" spans="2:26" x14ac:dyDescent="0.2">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row>
    <row r="21" spans="2:26" ht="27.95" customHeight="1" x14ac:dyDescent="0.2">
      <c r="B21" s="124" t="s">
        <v>145</v>
      </c>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spans="2:26" x14ac:dyDescent="0.2">
      <c r="B22" s="124"/>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row>
    <row r="23" spans="2:26" ht="27.95" customHeight="1" x14ac:dyDescent="0.2">
      <c r="B23" s="124" t="s">
        <v>161</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spans="2:26" x14ac:dyDescent="0.2">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spans="2:26" ht="12.75" customHeight="1" x14ac:dyDescent="0.2">
      <c r="B25" s="124" t="s">
        <v>146</v>
      </c>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spans="2:26" x14ac:dyDescent="0.2">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spans="2:26" ht="27.95" customHeight="1" x14ac:dyDescent="0.2">
      <c r="B27" s="124" t="s">
        <v>147</v>
      </c>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sheetData>
  <mergeCells count="24">
    <mergeCell ref="B19:Z19"/>
    <mergeCell ref="B20:Z20"/>
    <mergeCell ref="B21:Z21"/>
    <mergeCell ref="B27:Z27"/>
    <mergeCell ref="B22:Z22"/>
    <mergeCell ref="B23:Z23"/>
    <mergeCell ref="B24:Z24"/>
    <mergeCell ref="B25:Z25"/>
    <mergeCell ref="B26:Z26"/>
    <mergeCell ref="B14:Z14"/>
    <mergeCell ref="B15:Z15"/>
    <mergeCell ref="B16:Z16"/>
    <mergeCell ref="B17:Z17"/>
    <mergeCell ref="B18:Z18"/>
    <mergeCell ref="B9:Z9"/>
    <mergeCell ref="B10:Z10"/>
    <mergeCell ref="B11:Z11"/>
    <mergeCell ref="B12:Z12"/>
    <mergeCell ref="B13:Z13"/>
    <mergeCell ref="B2:J2"/>
    <mergeCell ref="B5:Z5"/>
    <mergeCell ref="B6:Z6"/>
    <mergeCell ref="B7:Z7"/>
    <mergeCell ref="B8:Z8"/>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79"/>
  <sheetViews>
    <sheetView zoomScale="90" zoomScaleNormal="90" workbookViewId="0">
      <selection activeCell="H12" sqref="H12"/>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25" t="s">
        <v>58</v>
      </c>
      <c r="C2" s="125"/>
      <c r="D2" s="125"/>
      <c r="E2" s="125"/>
      <c r="F2" s="125"/>
      <c r="G2" s="125"/>
      <c r="H2" s="125"/>
      <c r="I2" s="125"/>
      <c r="J2" s="125"/>
      <c r="K2" s="125"/>
      <c r="L2" s="125"/>
    </row>
    <row r="3" spans="2:12" ht="13.5" thickTop="1" x14ac:dyDescent="0.2">
      <c r="B3" s="103" t="str">
        <f>Tooltype</f>
        <v>Calculator tool for the German scenario for inland water marinas</v>
      </c>
    </row>
    <row r="4" spans="2:12" ht="12.75" customHeight="1" x14ac:dyDescent="0.2"/>
    <row r="5" spans="2:12" ht="21" thickBot="1" x14ac:dyDescent="0.35">
      <c r="B5" s="107" t="s">
        <v>11</v>
      </c>
      <c r="F5" s="50"/>
      <c r="G5" s="125" t="s">
        <v>65</v>
      </c>
      <c r="H5" s="125"/>
    </row>
    <row r="6" spans="2:12" ht="15" customHeight="1" thickTop="1" x14ac:dyDescent="0.2">
      <c r="B6" s="108" t="str">
        <f>Compound_Name</f>
        <v>Tralopyril</v>
      </c>
      <c r="F6" s="50"/>
    </row>
    <row r="7" spans="2:12" ht="12.75" customHeight="1" x14ac:dyDescent="0.2">
      <c r="F7" s="50"/>
      <c r="G7" s="101" t="s">
        <v>65</v>
      </c>
      <c r="H7" s="84">
        <v>0.9</v>
      </c>
    </row>
    <row r="8" spans="2:12" ht="12.75" customHeight="1" x14ac:dyDescent="0.2">
      <c r="B8" s="50"/>
      <c r="C8" s="50"/>
      <c r="D8" s="50"/>
      <c r="E8" s="50"/>
      <c r="F8" s="50"/>
    </row>
    <row r="9" spans="2:12" ht="21" thickBot="1" x14ac:dyDescent="0.35">
      <c r="B9" s="125" t="s">
        <v>57</v>
      </c>
      <c r="C9" s="125"/>
      <c r="D9" s="125"/>
      <c r="E9" s="46"/>
      <c r="G9" s="35" t="s">
        <v>50</v>
      </c>
    </row>
    <row r="10" spans="2:12" ht="12.75" customHeight="1" thickTop="1" thickBot="1" x14ac:dyDescent="0.25">
      <c r="B10" s="50"/>
      <c r="C10" s="50"/>
      <c r="D10" s="50"/>
      <c r="E10" s="50"/>
    </row>
    <row r="11" spans="2:12" ht="26.25" thickBot="1" x14ac:dyDescent="0.25">
      <c r="B11" s="50"/>
      <c r="C11" s="51" t="s">
        <v>69</v>
      </c>
      <c r="D11" s="51" t="s">
        <v>70</v>
      </c>
      <c r="E11" s="50"/>
      <c r="G11" s="36" t="s">
        <v>63</v>
      </c>
      <c r="H11" s="85">
        <v>2.5</v>
      </c>
      <c r="I11" s="37" t="s">
        <v>93</v>
      </c>
      <c r="J11" s="45" t="s">
        <v>64</v>
      </c>
    </row>
    <row r="12" spans="2:12" x14ac:dyDescent="0.2">
      <c r="B12" s="99" t="s">
        <v>3</v>
      </c>
      <c r="C12" s="98">
        <v>1.7000000000000001E-2</v>
      </c>
      <c r="D12" s="98">
        <v>1.7000000000000001E-2</v>
      </c>
      <c r="E12" s="100" t="s">
        <v>96</v>
      </c>
    </row>
    <row r="13" spans="2:12" x14ac:dyDescent="0.2">
      <c r="B13" s="99" t="s">
        <v>4</v>
      </c>
      <c r="C13" s="98">
        <v>1.1000000000000001E-3</v>
      </c>
      <c r="D13" s="98">
        <v>1.1000000000000001E-3</v>
      </c>
      <c r="E13" s="100" t="s">
        <v>97</v>
      </c>
    </row>
    <row r="14" spans="2:12" x14ac:dyDescent="0.2"/>
    <row r="15" spans="2:12" ht="21" thickBot="1" x14ac:dyDescent="0.35">
      <c r="B15" s="125" t="s">
        <v>55</v>
      </c>
      <c r="C15" s="125"/>
      <c r="D15" s="125"/>
      <c r="E15" s="46"/>
      <c r="G15" s="43" t="s">
        <v>21</v>
      </c>
      <c r="H15" s="43"/>
      <c r="I15" s="43"/>
      <c r="J15" s="43"/>
      <c r="K15" s="43"/>
      <c r="L15" s="43"/>
    </row>
    <row r="16" spans="2:12" ht="14.25" thickTop="1" thickBot="1" x14ac:dyDescent="0.25">
      <c r="B16" s="44"/>
    </row>
    <row r="17" spans="2:12" ht="18" thickBot="1" x14ac:dyDescent="0.35">
      <c r="B17" s="129" t="s">
        <v>92</v>
      </c>
      <c r="C17" s="129"/>
      <c r="D17" s="129"/>
      <c r="E17" s="47"/>
      <c r="G17" s="40" t="s">
        <v>15</v>
      </c>
      <c r="H17" s="41"/>
      <c r="I17" s="41"/>
      <c r="J17" s="41"/>
      <c r="K17" s="41"/>
      <c r="L17" s="42"/>
    </row>
    <row r="18" spans="2:12" ht="13.5" thickTop="1" x14ac:dyDescent="0.2">
      <c r="B18" s="44"/>
      <c r="G18" s="18"/>
      <c r="H18" s="15"/>
      <c r="I18" s="15"/>
      <c r="J18" s="15"/>
      <c r="K18" s="15"/>
      <c r="L18" s="19"/>
    </row>
    <row r="19" spans="2:12" ht="25.5" x14ac:dyDescent="0.2">
      <c r="B19" s="101" t="s">
        <v>56</v>
      </c>
      <c r="C19" s="84">
        <v>0</v>
      </c>
      <c r="D19" s="92" t="s">
        <v>96</v>
      </c>
      <c r="E19" s="48"/>
      <c r="G19" s="102" t="s">
        <v>16</v>
      </c>
      <c r="H19" s="10" t="s">
        <v>17</v>
      </c>
      <c r="I19" s="10" t="s">
        <v>18</v>
      </c>
      <c r="J19" s="10" t="s">
        <v>19</v>
      </c>
      <c r="K19" s="10" t="s">
        <v>22</v>
      </c>
      <c r="L19" s="11" t="s">
        <v>20</v>
      </c>
    </row>
    <row r="20" spans="2:12" x14ac:dyDescent="0.2">
      <c r="B20" s="101" t="s">
        <v>4</v>
      </c>
      <c r="C20" s="84">
        <v>0</v>
      </c>
      <c r="D20" s="92" t="s">
        <v>97</v>
      </c>
      <c r="E20" s="48"/>
      <c r="G20" s="18"/>
      <c r="H20" s="15"/>
      <c r="I20" s="15"/>
      <c r="J20" s="15"/>
      <c r="K20" s="15"/>
      <c r="L20" s="19"/>
    </row>
    <row r="21" spans="2:12" ht="25.5" x14ac:dyDescent="0.2">
      <c r="B21"/>
      <c r="C21"/>
      <c r="D21"/>
      <c r="E21"/>
      <c r="G21" s="29" t="s">
        <v>23</v>
      </c>
      <c r="H21" s="23" t="s">
        <v>24</v>
      </c>
      <c r="I21" s="39"/>
      <c r="J21" s="25" t="s">
        <v>44</v>
      </c>
      <c r="K21" s="20" t="s">
        <v>46</v>
      </c>
      <c r="L21" s="13"/>
    </row>
    <row r="22" spans="2:12" x14ac:dyDescent="0.2">
      <c r="B22"/>
      <c r="C22"/>
      <c r="D22"/>
      <c r="E22"/>
      <c r="G22" s="29" t="s">
        <v>27</v>
      </c>
      <c r="H22" s="23" t="s">
        <v>25</v>
      </c>
      <c r="I22" s="39"/>
      <c r="J22" s="25" t="s">
        <v>2</v>
      </c>
      <c r="K22" s="20" t="s">
        <v>47</v>
      </c>
      <c r="L22" s="13"/>
    </row>
    <row r="23" spans="2:12" ht="29.25" customHeight="1" x14ac:dyDescent="0.2">
      <c r="B23"/>
      <c r="C23"/>
      <c r="D23"/>
      <c r="E23"/>
      <c r="G23" s="29" t="s">
        <v>28</v>
      </c>
      <c r="H23" s="23" t="s">
        <v>26</v>
      </c>
      <c r="I23" s="39"/>
      <c r="J23" s="25" t="s">
        <v>29</v>
      </c>
      <c r="K23" s="20" t="s">
        <v>47</v>
      </c>
      <c r="L23" s="13"/>
    </row>
    <row r="24" spans="2:12" ht="15" x14ac:dyDescent="0.2">
      <c r="B24"/>
      <c r="C24"/>
      <c r="D24"/>
      <c r="E24"/>
      <c r="G24" s="29" t="s">
        <v>30</v>
      </c>
      <c r="H24" s="24" t="s">
        <v>31</v>
      </c>
      <c r="I24" s="39"/>
      <c r="J24" s="25" t="s">
        <v>95</v>
      </c>
      <c r="K24" s="20" t="s">
        <v>47</v>
      </c>
      <c r="L24" s="13"/>
    </row>
    <row r="25" spans="2:12" x14ac:dyDescent="0.2">
      <c r="B25"/>
      <c r="C25"/>
      <c r="D25"/>
      <c r="E25"/>
      <c r="G25" s="29" t="s">
        <v>38</v>
      </c>
      <c r="H25" s="23" t="s">
        <v>32</v>
      </c>
      <c r="I25" s="39"/>
      <c r="J25" s="25" t="s">
        <v>94</v>
      </c>
      <c r="K25" s="20" t="s">
        <v>47</v>
      </c>
      <c r="L25" s="13"/>
    </row>
    <row r="26" spans="2:12" ht="29.25" customHeight="1" x14ac:dyDescent="0.2">
      <c r="B26"/>
      <c r="C26"/>
      <c r="D26"/>
      <c r="E26"/>
      <c r="G26" s="29" t="s">
        <v>108</v>
      </c>
      <c r="H26" s="23" t="s">
        <v>33</v>
      </c>
      <c r="I26" s="39"/>
      <c r="J26" s="25" t="s">
        <v>41</v>
      </c>
      <c r="K26" s="20" t="s">
        <v>47</v>
      </c>
      <c r="L26" s="13"/>
    </row>
    <row r="27" spans="2:12" x14ac:dyDescent="0.2">
      <c r="B27"/>
      <c r="C27"/>
      <c r="D27"/>
      <c r="E27"/>
      <c r="G27" s="29" t="s">
        <v>39</v>
      </c>
      <c r="H27" s="23" t="s">
        <v>34</v>
      </c>
      <c r="I27" s="39"/>
      <c r="J27" s="25" t="s">
        <v>40</v>
      </c>
      <c r="K27" s="20" t="s">
        <v>47</v>
      </c>
      <c r="L27" s="13"/>
    </row>
    <row r="28" spans="2:12" ht="15.75" thickBot="1" x14ac:dyDescent="0.25">
      <c r="B28"/>
      <c r="C28"/>
      <c r="D28"/>
      <c r="E28"/>
      <c r="G28" s="126" t="s">
        <v>35</v>
      </c>
      <c r="H28" s="127"/>
      <c r="I28" s="127"/>
      <c r="J28" s="127"/>
      <c r="K28" s="127"/>
      <c r="L28" s="128"/>
    </row>
    <row r="29" spans="2:12" ht="54" customHeight="1" thickTop="1" thickBot="1" x14ac:dyDescent="0.3">
      <c r="B29"/>
      <c r="C29"/>
      <c r="D29"/>
      <c r="E29"/>
      <c r="G29" s="29" t="s">
        <v>42</v>
      </c>
      <c r="H29" s="22" t="s">
        <v>36</v>
      </c>
      <c r="I29" s="31" t="e">
        <f>(La*a*Wa*ƿ*DFT)/VS</f>
        <v>#DIV/0!</v>
      </c>
      <c r="J29" s="25" t="s">
        <v>98</v>
      </c>
      <c r="K29" s="20" t="s">
        <v>45</v>
      </c>
      <c r="L29" s="13"/>
    </row>
    <row r="30" spans="2:12" ht="57.75" customHeight="1" thickTop="1" thickBot="1" x14ac:dyDescent="0.25">
      <c r="B30"/>
      <c r="C30"/>
      <c r="D30"/>
      <c r="E30"/>
      <c r="G30" s="28" t="s">
        <v>43</v>
      </c>
      <c r="H30" s="27" t="s">
        <v>37</v>
      </c>
      <c r="I30" s="32" t="e">
        <f>0.0329*(Mrel/t)</f>
        <v>#DIV/0!</v>
      </c>
      <c r="J30" s="26" t="s">
        <v>93</v>
      </c>
      <c r="K30" s="30" t="s">
        <v>45</v>
      </c>
      <c r="L30" s="21"/>
    </row>
    <row r="31" spans="2:12" x14ac:dyDescent="0.2">
      <c r="G31" s="16"/>
      <c r="H31" s="17"/>
    </row>
    <row r="32" spans="2:12" x14ac:dyDescent="0.2">
      <c r="G32" s="16"/>
      <c r="H32" s="17"/>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6"/>
      <c r="C40" s="17"/>
    </row>
    <row r="41" spans="2:7" ht="12.75" hidden="1" customHeight="1" x14ac:dyDescent="0.2">
      <c r="B41" s="16"/>
      <c r="C41" s="17"/>
      <c r="E41" s="44"/>
      <c r="G41" s="44"/>
    </row>
    <row r="42" spans="2:7" ht="12.75" hidden="1" customHeight="1" x14ac:dyDescent="0.2">
      <c r="B42" s="44"/>
      <c r="C42" s="44"/>
      <c r="D42" s="44"/>
      <c r="E42" s="44"/>
      <c r="G42" s="33"/>
    </row>
    <row r="43" spans="2:7" ht="41.25" hidden="1" customHeight="1" x14ac:dyDescent="0.2">
      <c r="B43" s="44"/>
      <c r="C43" s="44"/>
      <c r="D43" s="44"/>
      <c r="F43" s="44"/>
      <c r="G43" s="33"/>
    </row>
    <row r="44" spans="2:7" ht="12.75" hidden="1" customHeight="1" x14ac:dyDescent="0.2">
      <c r="F44" s="33"/>
      <c r="G44" s="33"/>
    </row>
    <row r="45" spans="2:7" ht="12.75" hidden="1" customHeight="1" x14ac:dyDescent="0.2">
      <c r="F45" s="33"/>
      <c r="G45" s="33"/>
    </row>
    <row r="46" spans="2:7" ht="12.75" hidden="1" customHeight="1" x14ac:dyDescent="0.2">
      <c r="E46" s="44"/>
      <c r="F46" s="33"/>
      <c r="G46" s="33"/>
    </row>
    <row r="47" spans="2:7" ht="12.75" hidden="1" customHeight="1" x14ac:dyDescent="0.2">
      <c r="B47" s="44"/>
      <c r="C47" s="44"/>
      <c r="D47" s="44"/>
      <c r="E47" s="44"/>
      <c r="F47" s="33"/>
      <c r="G47" s="33"/>
    </row>
    <row r="48" spans="2:7" ht="12.75" hidden="1" customHeight="1" x14ac:dyDescent="0.2">
      <c r="B48" s="44"/>
      <c r="C48" s="44"/>
      <c r="D48" s="44"/>
      <c r="E48" s="44"/>
      <c r="F48" s="33"/>
      <c r="G48" s="33"/>
    </row>
    <row r="49" spans="2:7" ht="12.75" hidden="1" customHeight="1" x14ac:dyDescent="0.2">
      <c r="B49" s="44"/>
      <c r="C49" s="44"/>
      <c r="D49" s="44"/>
      <c r="E49" s="44"/>
      <c r="F49" s="33"/>
      <c r="G49" s="44"/>
    </row>
    <row r="50" spans="2:7" ht="12.75" hidden="1" customHeight="1" x14ac:dyDescent="0.2">
      <c r="B50" s="44"/>
      <c r="C50" s="44"/>
      <c r="D50" s="44"/>
      <c r="E50" s="44"/>
      <c r="F50" s="33"/>
      <c r="G50" s="33"/>
    </row>
    <row r="51" spans="2:7" ht="12.75" hidden="1" customHeight="1" x14ac:dyDescent="0.2">
      <c r="B51" s="44"/>
      <c r="C51" s="44"/>
      <c r="D51" s="44"/>
      <c r="E51" s="44"/>
      <c r="F51" s="44"/>
      <c r="G51" s="33"/>
    </row>
    <row r="52" spans="2:7" ht="12.75" hidden="1" customHeight="1" x14ac:dyDescent="0.2">
      <c r="B52" s="44"/>
      <c r="C52" s="44"/>
      <c r="D52" s="44"/>
      <c r="E52" s="44"/>
      <c r="F52" s="33"/>
      <c r="G52" s="33"/>
    </row>
    <row r="53" spans="2:7" ht="12.75" hidden="1" customHeight="1" x14ac:dyDescent="0.2">
      <c r="B53" s="44"/>
      <c r="C53" s="44"/>
      <c r="D53" s="44"/>
      <c r="E53" s="44"/>
      <c r="F53" s="33"/>
      <c r="G53" s="33"/>
    </row>
    <row r="54" spans="2:7" ht="12.75" hidden="1" customHeight="1" x14ac:dyDescent="0.2">
      <c r="B54" s="44"/>
      <c r="C54" s="44"/>
      <c r="D54" s="44"/>
      <c r="E54" s="44"/>
      <c r="F54" s="33"/>
      <c r="G54" s="33"/>
    </row>
    <row r="55" spans="2:7" ht="12.75" hidden="1" customHeight="1" x14ac:dyDescent="0.2">
      <c r="B55" s="44"/>
      <c r="C55" s="44"/>
      <c r="D55" s="44"/>
      <c r="E55" s="44"/>
      <c r="F55" s="33"/>
      <c r="G55" s="33"/>
    </row>
    <row r="56" spans="2:7" ht="12.75" hidden="1" customHeight="1" x14ac:dyDescent="0.2">
      <c r="B56" s="44"/>
      <c r="C56" s="44"/>
      <c r="D56" s="44"/>
      <c r="E56" s="44"/>
      <c r="F56" s="33"/>
      <c r="G56" s="33"/>
    </row>
    <row r="57" spans="2:7" ht="12.75" hidden="1" customHeight="1" x14ac:dyDescent="0.2">
      <c r="B57" s="44"/>
      <c r="C57" s="44"/>
      <c r="D57" s="44"/>
      <c r="E57" s="44"/>
      <c r="F57" s="33"/>
      <c r="G57" s="33"/>
    </row>
    <row r="58" spans="2:7" ht="12.75" hidden="1" customHeight="1" x14ac:dyDescent="0.2">
      <c r="B58" s="44"/>
      <c r="C58" s="44"/>
      <c r="D58" s="44"/>
      <c r="E58" s="44"/>
      <c r="F58" s="33"/>
      <c r="G58" s="33"/>
    </row>
    <row r="59" spans="2:7" ht="12.75" hidden="1" customHeight="1" x14ac:dyDescent="0.2">
      <c r="B59" s="44"/>
      <c r="C59" s="44"/>
      <c r="D59" s="44"/>
      <c r="E59" s="44"/>
      <c r="F59" s="33"/>
      <c r="G59" s="33"/>
    </row>
    <row r="60" spans="2:7" ht="12.75" hidden="1" customHeight="1" x14ac:dyDescent="0.2">
      <c r="B60" s="44"/>
      <c r="C60" s="44"/>
      <c r="D60" s="44"/>
      <c r="E60" s="44"/>
      <c r="F60" s="33"/>
      <c r="G60" s="44"/>
    </row>
    <row r="61" spans="2:7" ht="12.75" hidden="1" customHeight="1" x14ac:dyDescent="0.2">
      <c r="B61" s="44"/>
      <c r="C61" s="44"/>
      <c r="D61" s="44"/>
      <c r="E61" s="44"/>
      <c r="F61" s="33"/>
      <c r="G61" s="33"/>
    </row>
    <row r="62" spans="2:7" ht="12.75" hidden="1" customHeight="1" x14ac:dyDescent="0.2">
      <c r="B62" s="44"/>
      <c r="C62" s="44"/>
      <c r="D62" s="44"/>
      <c r="E62" s="44"/>
      <c r="F62" s="44"/>
      <c r="G62" s="33"/>
    </row>
    <row r="63" spans="2:7" ht="12.75" hidden="1" customHeight="1" x14ac:dyDescent="0.2">
      <c r="B63" s="44"/>
      <c r="C63" s="44"/>
      <c r="D63" s="44"/>
      <c r="E63" s="44"/>
      <c r="F63" s="33"/>
      <c r="G63" s="33"/>
    </row>
    <row r="64" spans="2:7" ht="12.75" hidden="1" customHeight="1" x14ac:dyDescent="0.2">
      <c r="B64" s="44"/>
      <c r="C64" s="44"/>
      <c r="D64" s="44"/>
      <c r="E64" s="44"/>
      <c r="F64" s="33"/>
      <c r="G64" s="33"/>
    </row>
    <row r="65" spans="2:7" ht="12.75" hidden="1" customHeight="1" x14ac:dyDescent="0.2">
      <c r="B65" s="44"/>
      <c r="C65" s="44"/>
      <c r="D65" s="44"/>
      <c r="E65" s="44"/>
      <c r="F65" s="33"/>
      <c r="G65" s="33"/>
    </row>
    <row r="66" spans="2:7" ht="12.75" hidden="1" customHeight="1" x14ac:dyDescent="0.2">
      <c r="B66" s="44"/>
      <c r="C66" s="44"/>
      <c r="D66" s="44"/>
      <c r="E66" s="44"/>
      <c r="F66" s="33"/>
      <c r="G66" s="33"/>
    </row>
    <row r="67" spans="2:7" ht="12.75" hidden="1" customHeight="1" x14ac:dyDescent="0.2">
      <c r="B67" s="44"/>
      <c r="C67" s="44"/>
      <c r="D67" s="44"/>
      <c r="E67" s="44"/>
      <c r="F67" s="33"/>
      <c r="G67" s="33"/>
    </row>
    <row r="68" spans="2:7" ht="12.75" hidden="1" customHeight="1" x14ac:dyDescent="0.2">
      <c r="B68" s="44"/>
      <c r="C68" s="44"/>
      <c r="D68" s="44"/>
      <c r="E68" s="44"/>
      <c r="F68" s="33"/>
      <c r="G68" s="33"/>
    </row>
    <row r="69" spans="2:7" ht="12.75" hidden="1" customHeight="1" x14ac:dyDescent="0.2">
      <c r="B69" s="44"/>
      <c r="C69" s="44"/>
      <c r="D69" s="44"/>
      <c r="F69" s="33"/>
    </row>
    <row r="70" spans="2:7" ht="12.75" hidden="1" customHeight="1" x14ac:dyDescent="0.2">
      <c r="F70" s="33"/>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4.9989318521683403E-2"/>
  </sheetPr>
  <dimension ref="A1:Z397"/>
  <sheetViews>
    <sheetView zoomScale="90" zoomScaleNormal="90" workbookViewId="0">
      <selection activeCell="C28" sqref="C28:D28"/>
    </sheetView>
  </sheetViews>
  <sheetFormatPr baseColWidth="10" defaultColWidth="0" defaultRowHeight="12.75" zeroHeight="1" x14ac:dyDescent="0.2"/>
  <cols>
    <col min="1" max="2" width="3.125" style="1" customWidth="1"/>
    <col min="3" max="3" width="45.5" bestFit="1"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63"/>
      <c r="B1" s="63"/>
      <c r="C1" s="63"/>
      <c r="D1" s="63"/>
      <c r="E1" s="63"/>
      <c r="F1" s="63"/>
      <c r="G1" s="63"/>
      <c r="H1" s="63"/>
      <c r="I1" s="63"/>
      <c r="J1" s="63"/>
      <c r="K1" s="63"/>
      <c r="L1" s="63"/>
      <c r="M1" s="63"/>
      <c r="N1" s="63"/>
    </row>
    <row r="2" spans="1:14" x14ac:dyDescent="0.2">
      <c r="A2" s="63"/>
      <c r="K2" s="1"/>
      <c r="N2" s="63"/>
    </row>
    <row r="3" spans="1:14" x14ac:dyDescent="0.2">
      <c r="A3" s="63"/>
      <c r="C3" s="56" t="s">
        <v>74</v>
      </c>
      <c r="D3" s="56"/>
      <c r="E3" s="56"/>
      <c r="F3" s="56"/>
      <c r="G3" s="56"/>
      <c r="H3" s="56"/>
      <c r="I3" s="56"/>
      <c r="J3" s="65"/>
      <c r="K3" s="65"/>
      <c r="L3" s="80">
        <f ca="1">TODAY()</f>
        <v>44001</v>
      </c>
      <c r="N3" s="63"/>
    </row>
    <row r="4" spans="1:14" x14ac:dyDescent="0.2">
      <c r="A4" s="63"/>
      <c r="C4" s="103" t="str">
        <f>Tooltype</f>
        <v>Calculator tool for the German scenario for inland water marinas</v>
      </c>
      <c r="D4" s="103"/>
      <c r="E4" s="103"/>
      <c r="K4" s="1"/>
      <c r="N4" s="63"/>
    </row>
    <row r="5" spans="1:14" x14ac:dyDescent="0.2">
      <c r="A5" s="63"/>
      <c r="K5" s="1"/>
      <c r="N5" s="63"/>
    </row>
    <row r="6" spans="1:14" x14ac:dyDescent="0.2">
      <c r="A6" s="63"/>
      <c r="C6" s="57" t="s">
        <v>75</v>
      </c>
      <c r="D6" t="str">
        <f>Compound_Name</f>
        <v>Tralopyril</v>
      </c>
      <c r="K6" s="1"/>
      <c r="N6" s="63"/>
    </row>
    <row r="7" spans="1:14" x14ac:dyDescent="0.2">
      <c r="A7" s="63"/>
      <c r="C7" s="57" t="s">
        <v>76</v>
      </c>
      <c r="D7" t="str">
        <f>Version</f>
        <v>Version Final 1.0</v>
      </c>
      <c r="K7" s="1"/>
      <c r="N7" s="63"/>
    </row>
    <row r="8" spans="1:14" x14ac:dyDescent="0.2">
      <c r="A8" s="63"/>
      <c r="K8" s="1"/>
      <c r="N8" s="63"/>
    </row>
    <row r="9" spans="1:14" x14ac:dyDescent="0.2">
      <c r="A9" s="63"/>
      <c r="C9" s="130" t="s">
        <v>15</v>
      </c>
      <c r="D9" s="130"/>
      <c r="E9" s="130"/>
      <c r="F9" s="130"/>
      <c r="K9" s="1"/>
      <c r="N9" s="63"/>
    </row>
    <row r="10" spans="1:14" s="61" customFormat="1" x14ac:dyDescent="0.2">
      <c r="A10" s="63"/>
      <c r="B10" s="1"/>
      <c r="C10" s="58"/>
      <c r="J10" s="1"/>
      <c r="K10" s="1"/>
      <c r="N10" s="63"/>
    </row>
    <row r="11" spans="1:14" x14ac:dyDescent="0.2">
      <c r="A11" s="63"/>
      <c r="C11" s="131" t="s">
        <v>83</v>
      </c>
      <c r="D11" s="131"/>
      <c r="E11" s="131"/>
      <c r="F11" s="131"/>
      <c r="K11" s="1"/>
      <c r="N11" s="63"/>
    </row>
    <row r="12" spans="1:14" s="61" customFormat="1" x14ac:dyDescent="0.2">
      <c r="A12" s="63"/>
      <c r="B12" s="1"/>
      <c r="C12" s="61" t="s">
        <v>65</v>
      </c>
      <c r="E12" s="61">
        <f>Application_Factor</f>
        <v>0.9</v>
      </c>
      <c r="J12" s="1"/>
      <c r="K12" s="1"/>
      <c r="N12" s="63"/>
    </row>
    <row r="13" spans="1:14" s="61" customFormat="1" x14ac:dyDescent="0.2">
      <c r="A13" s="63"/>
      <c r="B13" s="1"/>
      <c r="C13" s="61" t="s">
        <v>82</v>
      </c>
      <c r="E13" s="61">
        <f>IF(ISBLANK(Average_biocide_release_over_the_lifetime_of_the_paint_M),Average_biocide_release_over_the_lifetime_of_the_paint_C,Average_biocide_release_over_the_lifetime_of_the_paint_M)</f>
        <v>2.5</v>
      </c>
      <c r="J13" s="1"/>
      <c r="K13" s="1"/>
      <c r="N13" s="63"/>
    </row>
    <row r="14" spans="1:14" s="61" customFormat="1" x14ac:dyDescent="0.2">
      <c r="A14" s="63"/>
      <c r="B14" s="1"/>
      <c r="J14" s="1"/>
      <c r="K14" s="1"/>
      <c r="N14" s="63"/>
    </row>
    <row r="15" spans="1:14" s="61" customFormat="1" x14ac:dyDescent="0.2">
      <c r="A15" s="63"/>
      <c r="B15" s="1"/>
      <c r="C15" s="131" t="s">
        <v>57</v>
      </c>
      <c r="D15" s="131"/>
      <c r="E15" s="131"/>
      <c r="F15" s="131"/>
      <c r="J15" s="1"/>
      <c r="K15" s="1"/>
      <c r="N15" s="63"/>
    </row>
    <row r="16" spans="1:14" s="61" customFormat="1" x14ac:dyDescent="0.2">
      <c r="A16" s="63"/>
      <c r="B16" s="1"/>
      <c r="C16" s="132" t="s">
        <v>106</v>
      </c>
      <c r="D16" s="132"/>
      <c r="E16" s="132"/>
      <c r="F16">
        <f>PNEC_Aquatic_Inside</f>
        <v>1.7000000000000001E-2</v>
      </c>
      <c r="J16" s="1"/>
      <c r="K16" s="1"/>
      <c r="N16" s="63"/>
    </row>
    <row r="17" spans="1:22" s="61" customFormat="1" x14ac:dyDescent="0.2">
      <c r="A17" s="63"/>
      <c r="B17" s="1"/>
      <c r="C17" s="132" t="s">
        <v>105</v>
      </c>
      <c r="D17" s="132"/>
      <c r="E17" s="132"/>
      <c r="F17">
        <f>PNEC_Sediment_Inside</f>
        <v>1.1000000000000001E-3</v>
      </c>
      <c r="J17" s="1"/>
      <c r="K17" s="1"/>
      <c r="N17" s="63"/>
    </row>
    <row r="18" spans="1:22" s="61" customFormat="1" x14ac:dyDescent="0.2">
      <c r="A18" s="63"/>
      <c r="B18" s="1"/>
      <c r="C18" s="132" t="s">
        <v>104</v>
      </c>
      <c r="D18" s="132"/>
      <c r="E18" s="132"/>
      <c r="F18">
        <f>PNEC_Aquatic_Surrounding</f>
        <v>1.7000000000000001E-2</v>
      </c>
      <c r="J18" s="1"/>
      <c r="K18" s="1"/>
      <c r="N18" s="63"/>
    </row>
    <row r="19" spans="1:22" x14ac:dyDescent="0.2">
      <c r="A19" s="63"/>
      <c r="C19" s="132" t="s">
        <v>103</v>
      </c>
      <c r="D19" s="132"/>
      <c r="E19" s="132"/>
      <c r="F19">
        <f>PNEC_Sediment_Surrounding</f>
        <v>1.1000000000000001E-3</v>
      </c>
      <c r="K19" s="1"/>
      <c r="N19" s="63"/>
    </row>
    <row r="20" spans="1:22" x14ac:dyDescent="0.2">
      <c r="A20" s="63"/>
      <c r="K20" s="1"/>
      <c r="N20" s="63"/>
    </row>
    <row r="21" spans="1:22" x14ac:dyDescent="0.2">
      <c r="A21" s="63"/>
      <c r="C21" s="131" t="s">
        <v>55</v>
      </c>
      <c r="D21" s="131"/>
      <c r="E21" s="131"/>
      <c r="F21" s="131"/>
      <c r="K21" s="1"/>
      <c r="N21" s="63"/>
    </row>
    <row r="22" spans="1:22" ht="25.5" x14ac:dyDescent="0.2">
      <c r="A22" s="63"/>
      <c r="E22" s="93" t="s">
        <v>99</v>
      </c>
      <c r="F22" s="93" t="s">
        <v>100</v>
      </c>
      <c r="K22" s="1"/>
      <c r="N22" s="63"/>
    </row>
    <row r="23" spans="1:22" x14ac:dyDescent="0.2">
      <c r="A23" s="63"/>
      <c r="C23" t="s">
        <v>184</v>
      </c>
      <c r="E23" s="94">
        <f>Background_SW_Freshwater</f>
        <v>0</v>
      </c>
      <c r="F23" s="94">
        <f>Background_Sed_Freshwater</f>
        <v>0</v>
      </c>
      <c r="K23" s="1"/>
      <c r="N23" s="63"/>
    </row>
    <row r="24" spans="1:22" s="81" customFormat="1" x14ac:dyDescent="0.2">
      <c r="A24" s="63"/>
      <c r="B24" s="1"/>
      <c r="J24" s="1"/>
      <c r="K24" s="1"/>
      <c r="N24" s="77"/>
      <c r="O24" s="70"/>
      <c r="P24" s="70"/>
    </row>
    <row r="25" spans="1:22" x14ac:dyDescent="0.2">
      <c r="A25" s="63"/>
      <c r="K25" s="1"/>
      <c r="N25" s="77"/>
      <c r="O25" s="70"/>
      <c r="P25" s="70"/>
    </row>
    <row r="26" spans="1:22" x14ac:dyDescent="0.2">
      <c r="A26" s="63"/>
      <c r="C26" s="58" t="s">
        <v>79</v>
      </c>
      <c r="K26" s="1"/>
      <c r="N26" s="77"/>
      <c r="O26" s="70"/>
      <c r="P26" s="70"/>
    </row>
    <row r="27" spans="1:22" x14ac:dyDescent="0.2">
      <c r="A27" s="63"/>
      <c r="N27" s="77"/>
      <c r="O27" s="70"/>
      <c r="P27" s="70"/>
    </row>
    <row r="28" spans="1:22" ht="80.099999999999994" customHeight="1" x14ac:dyDescent="0.2">
      <c r="A28" s="63"/>
      <c r="C28" s="133" t="s">
        <v>185</v>
      </c>
      <c r="D28" s="134"/>
      <c r="E28" s="95" t="s">
        <v>126</v>
      </c>
      <c r="F28" s="95" t="s">
        <v>127</v>
      </c>
      <c r="G28" s="95" t="s">
        <v>128</v>
      </c>
      <c r="H28" s="95" t="s">
        <v>129</v>
      </c>
      <c r="I28" s="95" t="s">
        <v>59</v>
      </c>
      <c r="J28" s="95" t="s">
        <v>130</v>
      </c>
      <c r="K28" s="95" t="s">
        <v>131</v>
      </c>
      <c r="L28" s="95" t="s">
        <v>132</v>
      </c>
      <c r="M28" s="72"/>
      <c r="N28" s="78"/>
      <c r="O28" s="72"/>
      <c r="P28" s="70"/>
      <c r="R28" s="70"/>
      <c r="S28" s="60"/>
      <c r="T28" s="60"/>
      <c r="U28" s="60"/>
      <c r="V28" s="60"/>
    </row>
    <row r="29" spans="1:22" s="81" customFormat="1" x14ac:dyDescent="0.2">
      <c r="A29" s="63"/>
      <c r="B29" s="1"/>
      <c r="C29" s="135" t="s">
        <v>183</v>
      </c>
      <c r="D29" s="136"/>
      <c r="E29" s="96">
        <f>'DE Marinas_Scenario_Calc'!J38</f>
        <v>1.9689541315038364</v>
      </c>
      <c r="F29" s="96">
        <f>'DE Marinas_Scenario_Calc'!K38</f>
        <v>1.5599998745181458</v>
      </c>
      <c r="G29" s="96">
        <f>'DE Marinas_Scenario_Calc'!L38</f>
        <v>8.1705860200671125E-4</v>
      </c>
      <c r="H29" s="96">
        <f>'DE Marinas_Scenario_Calc'!M38</f>
        <v>6.9462085687531057E-4</v>
      </c>
      <c r="I29" s="96">
        <f>'DE Marinas_Scenario_Calc'!R38</f>
        <v>115.82083126493154</v>
      </c>
      <c r="J29" s="96">
        <f>'DE Marinas_Scenario_Calc'!S38</f>
        <v>1418.1817041074053</v>
      </c>
      <c r="K29" s="96">
        <f>'DE Marinas_Scenario_Calc'!T38</f>
        <v>4.8062270706277131E-2</v>
      </c>
      <c r="L29" s="96">
        <f>'DE Marinas_Scenario_Calc'!U38</f>
        <v>0.63147350625028231</v>
      </c>
      <c r="M29" s="70"/>
      <c r="N29" s="77"/>
      <c r="O29" s="70"/>
      <c r="P29" s="70"/>
      <c r="Q29" s="70"/>
      <c r="R29" s="70"/>
    </row>
    <row r="30" spans="1:22" x14ac:dyDescent="0.2">
      <c r="A30" s="63"/>
      <c r="C30" s="135" t="s">
        <v>152</v>
      </c>
      <c r="D30" s="136"/>
      <c r="E30" s="96">
        <f>'DE Marinas_Scenario_Calc'!J39</f>
        <v>2.4709585804458603</v>
      </c>
      <c r="F30" s="96">
        <f>'DE Marinas_Scenario_Calc'!K39</f>
        <v>14.774755134931368</v>
      </c>
      <c r="G30" s="96">
        <f>'DE Marinas_Scenario_Calc'!L39</f>
        <v>1.190002011166316E-3</v>
      </c>
      <c r="H30" s="96">
        <f>'DE Marinas_Scenario_Calc'!M39</f>
        <v>7.0762542285782689E-3</v>
      </c>
      <c r="I30" s="96">
        <f>'DE Marinas_Scenario_Calc'!R39</f>
        <v>145.35050473210944</v>
      </c>
      <c r="J30" s="96">
        <f>'DE Marinas_Scenario_Calc'!S39</f>
        <v>13431.595577210337</v>
      </c>
      <c r="K30" s="96">
        <f>'DE Marinas_Scenario_Calc'!T39</f>
        <v>7.0000118303900946E-2</v>
      </c>
      <c r="L30" s="96">
        <f>'DE Marinas_Scenario_Calc'!U39</f>
        <v>6.4329583896166085</v>
      </c>
      <c r="M30" s="70"/>
      <c r="N30" s="77"/>
      <c r="O30" s="70"/>
      <c r="P30" s="70"/>
      <c r="Q30" s="70"/>
      <c r="R30" s="70"/>
    </row>
    <row r="31" spans="1:22" ht="12.75" customHeight="1" x14ac:dyDescent="0.2">
      <c r="A31" s="63"/>
      <c r="C31" s="137" t="s">
        <v>13</v>
      </c>
      <c r="D31" s="138"/>
      <c r="E31" s="96">
        <f>'DE Marinas_Scenario_Calc'!J40</f>
        <v>6.6767303009126531</v>
      </c>
      <c r="F31" s="96">
        <f>'DE Marinas_Scenario_Calc'!K40</f>
        <v>223.29728186293619</v>
      </c>
      <c r="G31" s="96">
        <f>'DE Marinas_Scenario_Calc'!L40</f>
        <v>3.7766389444651789E-3</v>
      </c>
      <c r="H31" s="96">
        <f>'DE Marinas_Scenario_Calc'!M40</f>
        <v>0.1042431278574792</v>
      </c>
      <c r="I31" s="96">
        <f>'DE Marinas_Scenario_Calc'!R40</f>
        <v>392.74884123015602</v>
      </c>
      <c r="J31" s="96">
        <f>'DE Marinas_Scenario_Calc'!S40</f>
        <v>202997.5289663056</v>
      </c>
      <c r="K31" s="96">
        <f>'DE Marinas_Scenario_Calc'!T40</f>
        <v>0.22215523202736345</v>
      </c>
      <c r="L31" s="96">
        <f>'DE Marinas_Scenario_Calc'!U40</f>
        <v>94.766479870435631</v>
      </c>
      <c r="N31" s="63"/>
    </row>
    <row r="32" spans="1:22" x14ac:dyDescent="0.2">
      <c r="A32" s="63"/>
      <c r="C32" s="137" t="s">
        <v>14</v>
      </c>
      <c r="D32" s="138"/>
      <c r="E32" s="96">
        <f>'DE Marinas_Scenario_Calc'!J41</f>
        <v>6.7558894622979926E-2</v>
      </c>
      <c r="F32" s="96">
        <f>'DE Marinas_Scenario_Calc'!K41</f>
        <v>7.3694200167767655E-3</v>
      </c>
      <c r="G32" s="96">
        <f>'DE Marinas_Scenario_Calc'!L41</f>
        <v>6.9936139134103885E-5</v>
      </c>
      <c r="H32" s="96">
        <f>'DE Marinas_Scenario_Calc'!M41</f>
        <v>7.6287331864243129E-6</v>
      </c>
      <c r="I32" s="96">
        <f>'DE Marinas_Scenario_Calc'!R41</f>
        <v>3.9740526248811716</v>
      </c>
      <c r="J32" s="96">
        <f>'DE Marinas_Scenario_Calc'!S41</f>
        <v>6.6994727425243319</v>
      </c>
      <c r="K32" s="96">
        <f>'DE Marinas_Scenario_Calc'!T41</f>
        <v>4.113890537300228E-3</v>
      </c>
      <c r="L32" s="96">
        <f>'DE Marinas_Scenario_Calc'!U41</f>
        <v>6.9352119876584656E-3</v>
      </c>
      <c r="N32" s="63"/>
    </row>
    <row r="33" spans="1:25" x14ac:dyDescent="0.2">
      <c r="A33" s="63"/>
      <c r="C33" s="70"/>
      <c r="D33" s="70"/>
      <c r="E33" s="70"/>
      <c r="F33" s="70"/>
      <c r="G33" s="70"/>
      <c r="H33" s="70"/>
      <c r="N33" s="63"/>
    </row>
    <row r="34" spans="1:25" x14ac:dyDescent="0.2">
      <c r="A34" s="63"/>
      <c r="B34" s="63"/>
      <c r="C34" s="64"/>
      <c r="D34" s="63"/>
      <c r="E34" s="63"/>
      <c r="F34" s="63"/>
      <c r="G34" s="63"/>
      <c r="H34" s="63"/>
      <c r="I34" s="63"/>
      <c r="J34" s="63"/>
      <c r="K34" s="63"/>
      <c r="L34" s="63"/>
      <c r="M34" s="63"/>
      <c r="N34" s="63"/>
      <c r="P34" s="71"/>
      <c r="Q34" s="71"/>
      <c r="R34" s="70"/>
      <c r="S34" s="70"/>
      <c r="T34" s="70"/>
      <c r="U34" s="70"/>
      <c r="V34" s="70"/>
      <c r="W34" s="70"/>
      <c r="X34" s="12"/>
      <c r="Y34" s="1"/>
    </row>
    <row r="35" spans="1:25" x14ac:dyDescent="0.2">
      <c r="A35" s="63"/>
      <c r="C35" s="58" t="s">
        <v>80</v>
      </c>
      <c r="N35" s="63"/>
    </row>
    <row r="36" spans="1:25" x14ac:dyDescent="0.2">
      <c r="A36" s="63"/>
      <c r="B36"/>
      <c r="N36" s="63"/>
    </row>
    <row r="37" spans="1:25" x14ac:dyDescent="0.2">
      <c r="A37" s="63"/>
      <c r="C37" s="79" t="s">
        <v>77</v>
      </c>
      <c r="D37" s="69"/>
      <c r="E37" s="69"/>
      <c r="F37" s="69"/>
      <c r="G37" s="69"/>
      <c r="N37" s="63"/>
    </row>
    <row r="38" spans="1:25" ht="105.95" customHeight="1" x14ac:dyDescent="0.2">
      <c r="A38" s="63"/>
      <c r="B38"/>
      <c r="C38" s="59" t="s">
        <v>9</v>
      </c>
      <c r="D38" s="113" t="s">
        <v>10</v>
      </c>
      <c r="E38" s="91" t="s">
        <v>113</v>
      </c>
      <c r="F38" s="91" t="s">
        <v>114</v>
      </c>
      <c r="G38" s="91" t="s">
        <v>115</v>
      </c>
      <c r="H38" s="91" t="s">
        <v>112</v>
      </c>
      <c r="N38" s="63"/>
    </row>
    <row r="39" spans="1:25" x14ac:dyDescent="0.2">
      <c r="A39" s="63"/>
      <c r="C39" s="97" t="str">
        <f>'Output_DE marinas'!B12</f>
        <v>Inland water marina 1</v>
      </c>
      <c r="D39" s="97" t="str">
        <f>'Output_DE marinas'!C12</f>
        <v>DE</v>
      </c>
      <c r="E39" s="96">
        <f>'DE Marinas_Scenario_Calc'!J21</f>
        <v>2.6863372597865292</v>
      </c>
      <c r="F39" s="96">
        <f>'DE Marinas_Scenario_Calc'!K21</f>
        <v>0.36197756521185331</v>
      </c>
      <c r="G39" s="96">
        <f>'DE Marinas_Scenario_Calc'!L21</f>
        <v>8.1705860200671125E-4</v>
      </c>
      <c r="H39" s="96">
        <f>'DE Marinas_Scenario_Calc'!M21</f>
        <v>1.1009670589271654E-4</v>
      </c>
      <c r="N39" s="63"/>
    </row>
    <row r="40" spans="1:25" x14ac:dyDescent="0.2">
      <c r="A40" s="63"/>
      <c r="C40" s="97" t="str">
        <f>'Output_DE marinas'!B13</f>
        <v>Inland water marina 2</v>
      </c>
      <c r="D40" s="97" t="str">
        <f>'Output_DE marinas'!C13</f>
        <v>DE</v>
      </c>
      <c r="E40" s="96">
        <f>'DE Marinas_Scenario_Calc'!J22</f>
        <v>1.7620116246507667</v>
      </c>
      <c r="F40" s="96">
        <f>'DE Marinas_Scenario_Calc'!K22</f>
        <v>2.0548216882482024</v>
      </c>
      <c r="G40" s="96">
        <f>'DE Marinas_Scenario_Calc'!L22</f>
        <v>5.9563806727528637E-4</v>
      </c>
      <c r="H40" s="96">
        <f>'DE Marinas_Scenario_Calc'!M22</f>
        <v>6.9462085687531057E-4</v>
      </c>
      <c r="N40" s="63"/>
    </row>
    <row r="41" spans="1:25" x14ac:dyDescent="0.2">
      <c r="A41" s="63"/>
      <c r="C41" s="97" t="str">
        <f>'Output_DE marinas'!B14</f>
        <v>Inland water marina 3</v>
      </c>
      <c r="D41" s="97" t="str">
        <f>'Output_DE marinas'!C14</f>
        <v>DE</v>
      </c>
      <c r="E41" s="96">
        <f>'DE Marinas_Scenario_Calc'!J23</f>
        <v>2.654561205854634</v>
      </c>
      <c r="F41" s="96">
        <f>'DE Marinas_Scenario_Calc'!K23</f>
        <v>6.1252142351194125</v>
      </c>
      <c r="G41" s="96">
        <f>'DE Marinas_Scenario_Calc'!L23</f>
        <v>1.2038343557773284E-3</v>
      </c>
      <c r="H41" s="96">
        <f>'DE Marinas_Scenario_Calc'!M23</f>
        <v>2.7777635363188924E-3</v>
      </c>
      <c r="N41" s="63"/>
    </row>
    <row r="42" spans="1:25" x14ac:dyDescent="0.2">
      <c r="A42" s="63"/>
      <c r="C42" s="97" t="str">
        <f>'Output_DE marinas'!B15</f>
        <v>Inland water marina 4</v>
      </c>
      <c r="D42" s="97" t="str">
        <f>'Output_DE marinas'!C15</f>
        <v>DE</v>
      </c>
      <c r="E42" s="96">
        <f>'DE Marinas_Scenario_Calc'!J24</f>
        <v>0.61794157140465389</v>
      </c>
      <c r="F42" s="96">
        <f>'DE Marinas_Scenario_Calc'!K24</f>
        <v>2.831049242743795</v>
      </c>
      <c r="G42" s="96">
        <f>'DE Marinas_Scenario_Calc'!L24</f>
        <v>4.3173558058389079E-4</v>
      </c>
      <c r="H42" s="96">
        <f>'DE Marinas_Scenario_Calc'!M24</f>
        <v>1.9779615938891569E-3</v>
      </c>
      <c r="N42" s="63"/>
    </row>
    <row r="43" spans="1:25" x14ac:dyDescent="0.2">
      <c r="A43" s="63"/>
      <c r="C43" s="97" t="str">
        <f>'Output_DE marinas'!B16</f>
        <v>Inland water marina 5</v>
      </c>
      <c r="D43" s="97" t="str">
        <f>'Output_DE marinas'!C16</f>
        <v>DE</v>
      </c>
      <c r="E43" s="96">
        <f>'DE Marinas_Scenario_Calc'!J25</f>
        <v>0.16402876238942318</v>
      </c>
      <c r="F43" s="96">
        <f>'DE Marinas_Scenario_Calc'!K25</f>
        <v>0.71881126187620459</v>
      </c>
      <c r="G43" s="96">
        <f>'DE Marinas_Scenario_Calc'!L25</f>
        <v>8.8321761162816977E-5</v>
      </c>
      <c r="H43" s="96">
        <f>'DE Marinas_Scenario_Calc'!M25</f>
        <v>3.8704600281651535E-4</v>
      </c>
      <c r="N43" s="63"/>
    </row>
    <row r="44" spans="1:25" x14ac:dyDescent="0.2">
      <c r="A44" s="63"/>
      <c r="C44" s="97" t="str">
        <f>'Output_DE marinas'!B17</f>
        <v>Inland water marina 6</v>
      </c>
      <c r="D44" s="97" t="str">
        <f>'Output_DE marinas'!C17</f>
        <v>DE</v>
      </c>
      <c r="E44" s="96">
        <f>'DE Marinas_Scenario_Calc'!J26</f>
        <v>0.44253520530175888</v>
      </c>
      <c r="F44" s="96">
        <f>'DE Marinas_Scenario_Calc'!K26</f>
        <v>0.42510821995217951</v>
      </c>
      <c r="G44" s="96">
        <f>'DE Marinas_Scenario_Calc'!L26</f>
        <v>4.7868455368998801E-4</v>
      </c>
      <c r="H44" s="96">
        <f>'DE Marinas_Scenario_Calc'!M26</f>
        <v>4.5983400603687115E-4</v>
      </c>
      <c r="N44" s="63"/>
    </row>
    <row r="45" spans="1:25" x14ac:dyDescent="0.2">
      <c r="A45" s="63"/>
      <c r="C45" s="97" t="str">
        <f>'Output_DE marinas'!B18</f>
        <v>Inland water marina 7</v>
      </c>
      <c r="D45" s="97" t="str">
        <f>'Output_DE marinas'!C18</f>
        <v>DE</v>
      </c>
      <c r="E45" s="96">
        <f>'DE Marinas_Scenario_Calc'!J27</f>
        <v>2.2347098970007417</v>
      </c>
      <c r="F45" s="96">
        <f>'DE Marinas_Scenario_Calc'!K27</f>
        <v>0.19688736834636716</v>
      </c>
      <c r="G45" s="96">
        <f>'DE Marinas_Scenario_Calc'!L27</f>
        <v>1.7080036056995279E-3</v>
      </c>
      <c r="H45" s="96">
        <f>'DE Marinas_Scenario_Calc'!M27</f>
        <v>1.5048232327428276E-4</v>
      </c>
      <c r="N45" s="63"/>
    </row>
    <row r="46" spans="1:25" x14ac:dyDescent="0.2">
      <c r="A46" s="63"/>
      <c r="C46" s="97" t="str">
        <f>'Output_DE marinas'!B19</f>
        <v>Inland water marina 8</v>
      </c>
      <c r="D46" s="97" t="str">
        <f>'Output_DE marinas'!C19</f>
        <v>DE</v>
      </c>
      <c r="E46" s="96">
        <f>'DE Marinas_Scenario_Calc'!J28</f>
        <v>3.4814119074748469</v>
      </c>
      <c r="F46" s="96">
        <f>'DE Marinas_Scenario_Calc'!K28</f>
        <v>223.29728186293619</v>
      </c>
      <c r="G46" s="96">
        <f>'DE Marinas_Scenario_Calc'!L28</f>
        <v>1.6252471460126343E-3</v>
      </c>
      <c r="H46" s="96">
        <f>'DE Marinas_Scenario_Calc'!M28</f>
        <v>0.1042431278574792</v>
      </c>
      <c r="N46" s="63"/>
    </row>
    <row r="47" spans="1:25" x14ac:dyDescent="0.2">
      <c r="A47" s="63"/>
      <c r="C47" s="97" t="str">
        <f>'Output_DE marinas'!B20</f>
        <v>Inland water marina 9</v>
      </c>
      <c r="D47" s="97" t="str">
        <f>'Output_DE marinas'!C20</f>
        <v>DE</v>
      </c>
      <c r="E47" s="96">
        <f>'DE Marinas_Scenario_Calc'!J29</f>
        <v>0.64010441404995955</v>
      </c>
      <c r="F47" s="96">
        <f>'DE Marinas_Scenario_Calc'!K29</f>
        <v>0.4630400092055979</v>
      </c>
      <c r="G47" s="96">
        <f>'DE Marinas_Scenario_Calc'!L29</f>
        <v>1.8343877148020407E-3</v>
      </c>
      <c r="H47" s="96">
        <f>'DE Marinas_Scenario_Calc'!M29</f>
        <v>1.3269630481458539E-3</v>
      </c>
      <c r="N47" s="63"/>
    </row>
    <row r="48" spans="1:25" x14ac:dyDescent="0.2">
      <c r="A48" s="63"/>
      <c r="C48" s="97" t="str">
        <f>'Output_DE marinas'!B21</f>
        <v>Inland water marina 10</v>
      </c>
      <c r="D48" s="97" t="str">
        <f>'Output_DE marinas'!C21</f>
        <v>DE</v>
      </c>
      <c r="E48" s="96">
        <f>'DE Marinas_Scenario_Calc'!J30</f>
        <v>6.7558894622979926E-2</v>
      </c>
      <c r="F48" s="96">
        <f>'DE Marinas_Scenario_Calc'!K30</f>
        <v>7.3694200167767655E-3</v>
      </c>
      <c r="G48" s="96">
        <f>'DE Marinas_Scenario_Calc'!L30</f>
        <v>6.9936139134103885E-5</v>
      </c>
      <c r="H48" s="96">
        <f>'DE Marinas_Scenario_Calc'!M30</f>
        <v>7.6287331864243129E-6</v>
      </c>
      <c r="N48" s="63"/>
    </row>
    <row r="49" spans="1:14" x14ac:dyDescent="0.2">
      <c r="A49" s="63"/>
      <c r="C49" s="97" t="str">
        <f>'Output_DE marinas'!B22</f>
        <v>Inland water marina 11</v>
      </c>
      <c r="D49" s="97" t="str">
        <f>'Output_DE marinas'!C22</f>
        <v>DE</v>
      </c>
      <c r="E49" s="96">
        <f>'DE Marinas_Scenario_Calc'!J31</f>
        <v>4.319987620416593</v>
      </c>
      <c r="F49" s="96">
        <f>'DE Marinas_Scenario_Calc'!K31</f>
        <v>4.1867005623025673</v>
      </c>
      <c r="G49" s="96">
        <f>'DE Marinas_Scenario_Calc'!L31</f>
        <v>2.4109134301418074E-3</v>
      </c>
      <c r="H49" s="96">
        <f>'DE Marinas_Scenario_Calc'!M31</f>
        <v>2.3365281605951835E-3</v>
      </c>
      <c r="N49" s="63"/>
    </row>
    <row r="50" spans="1:14" x14ac:dyDescent="0.2">
      <c r="A50" s="63"/>
      <c r="C50" s="97" t="str">
        <f>'Output_DE marinas'!B23</f>
        <v>Inland water marina 12</v>
      </c>
      <c r="D50" s="97" t="str">
        <f>'Output_DE marinas'!C23</f>
        <v>DE</v>
      </c>
      <c r="E50" s="96">
        <f>'DE Marinas_Scenario_Calc'!J32</f>
        <v>5.4072024107658905</v>
      </c>
      <c r="F50" s="96">
        <f>'DE Marinas_Scenario_Calc'!K32</f>
        <v>2.2520600243893214</v>
      </c>
      <c r="G50" s="96">
        <f>'DE Marinas_Scenario_Calc'!L32</f>
        <v>3.7766389444651789E-3</v>
      </c>
      <c r="H50" s="96">
        <f>'DE Marinas_Scenario_Calc'!M32</f>
        <v>1.5729423227335551E-3</v>
      </c>
      <c r="N50" s="63"/>
    </row>
    <row r="51" spans="1:14" x14ac:dyDescent="0.2">
      <c r="A51" s="63"/>
      <c r="C51" s="97" t="str">
        <f>'Output_DE marinas'!B24</f>
        <v>Inland water marina 13</v>
      </c>
      <c r="D51" s="97" t="str">
        <f>'Output_DE marinas'!C24</f>
        <v>DE</v>
      </c>
      <c r="E51" s="96">
        <f>'DE Marinas_Scenario_Calc'!J33</f>
        <v>1.9689541315038364</v>
      </c>
      <c r="F51" s="96">
        <f>'DE Marinas_Scenario_Calc'!K33</f>
        <v>2.8189387032527478</v>
      </c>
      <c r="G51" s="96">
        <f>'DE Marinas_Scenario_Calc'!L33</f>
        <v>9.4589972120404434E-4</v>
      </c>
      <c r="H51" s="96">
        <f>'DE Marinas_Scenario_Calc'!M33</f>
        <v>1.3542384193388818E-3</v>
      </c>
      <c r="N51" s="63"/>
    </row>
    <row r="52" spans="1:14" x14ac:dyDescent="0.2">
      <c r="A52" s="63"/>
      <c r="C52" s="97" t="str">
        <f>'Output_DE marinas'!B25</f>
        <v>Inland water marina 14</v>
      </c>
      <c r="D52" s="97" t="str">
        <f>'Output_DE marinas'!C25</f>
        <v>DE</v>
      </c>
      <c r="E52" s="96">
        <f>'DE Marinas_Scenario_Calc'!J34</f>
        <v>1.0772287331599169</v>
      </c>
      <c r="F52" s="96">
        <f>'DE Marinas_Scenario_Calc'!K34</f>
        <v>5.4835959907360295E-2</v>
      </c>
      <c r="G52" s="96">
        <f>'DE Marinas_Scenario_Calc'!L34</f>
        <v>2.3896102657061904E-4</v>
      </c>
      <c r="H52" s="96">
        <f>'DE Marinas_Scenario_Calc'!M34</f>
        <v>1.2164229148951027E-5</v>
      </c>
      <c r="N52" s="63"/>
    </row>
    <row r="53" spans="1:14" x14ac:dyDescent="0.2">
      <c r="A53" s="63"/>
      <c r="C53" s="97" t="str">
        <f>'Output_DE marinas'!B26</f>
        <v>Inland water marina 15</v>
      </c>
      <c r="D53" s="97" t="str">
        <f>'Output_DE marinas'!C26</f>
        <v>DE</v>
      </c>
      <c r="E53" s="96">
        <f>'DE Marinas_Scenario_Calc'!J35</f>
        <v>6.6767303009126531</v>
      </c>
      <c r="F53" s="96">
        <f>'DE Marinas_Scenario_Calc'!K35</f>
        <v>0.85648916047908408</v>
      </c>
      <c r="G53" s="96">
        <f>'DE Marinas_Scenario_Calc'!L35</f>
        <v>5.7992708184577521E-4</v>
      </c>
      <c r="H53" s="96">
        <f>'DE Marinas_Scenario_Calc'!M35</f>
        <v>7.4392890561543199E-5</v>
      </c>
      <c r="N53" s="63"/>
    </row>
    <row r="54" spans="1:14" x14ac:dyDescent="0.2">
      <c r="A54" s="63"/>
      <c r="C54" s="97" t="str">
        <f>'Output_DE marinas'!B27</f>
        <v>Inland water marina 16</v>
      </c>
      <c r="D54" s="97" t="str">
        <f>'Output_DE marinas'!C27</f>
        <v>DE</v>
      </c>
      <c r="E54" s="96">
        <f>'DE Marinas_Scenario_Calc'!J36</f>
        <v>6.1024627605233972</v>
      </c>
      <c r="F54" s="96">
        <f>'DE Marinas_Scenario_Calc'!K36</f>
        <v>2.9602521353274596</v>
      </c>
      <c r="G54" s="96">
        <f>'DE Marinas_Scenario_Calc'!L36</f>
        <v>7.5975384792927047E-4</v>
      </c>
      <c r="H54" s="96">
        <f>'DE Marinas_Scenario_Calc'!M36</f>
        <v>3.685500493329579E-4</v>
      </c>
      <c r="N54" s="63"/>
    </row>
    <row r="55" spans="1:14" x14ac:dyDescent="0.2">
      <c r="A55" s="63"/>
      <c r="C55" s="97" t="str">
        <f>'Output_DE marinas'!B28</f>
        <v>Inland water marina 17</v>
      </c>
      <c r="D55" s="97" t="str">
        <f>'Output_DE marinas'!C28</f>
        <v>DE</v>
      </c>
      <c r="E55" s="96">
        <f>'DE Marinas_Scenario_Calc'!J37</f>
        <v>1.7025291677610495</v>
      </c>
      <c r="F55" s="96">
        <f>'DE Marinas_Scenario_Calc'!K37</f>
        <v>1.5599998745181458</v>
      </c>
      <c r="G55" s="96">
        <f>'DE Marinas_Scenario_Calc'!L37</f>
        <v>2.6650926115263521E-3</v>
      </c>
      <c r="H55" s="96">
        <f>'DE Marinas_Scenario_Calc'!M37</f>
        <v>2.4419811502042915E-3</v>
      </c>
      <c r="N55" s="63"/>
    </row>
    <row r="56" spans="1:14" s="81" customFormat="1" x14ac:dyDescent="0.2">
      <c r="A56" s="63"/>
      <c r="B56" s="1"/>
      <c r="C56" s="89"/>
      <c r="D56" s="89"/>
      <c r="E56" s="90"/>
      <c r="F56" s="90"/>
      <c r="G56" s="90"/>
      <c r="H56" s="90"/>
      <c r="J56" s="1"/>
      <c r="N56" s="63"/>
    </row>
    <row r="57" spans="1:14" s="61" customFormat="1" x14ac:dyDescent="0.2">
      <c r="A57" s="63"/>
      <c r="C57" s="57" t="s">
        <v>78</v>
      </c>
      <c r="J57" s="1"/>
      <c r="N57" s="63"/>
    </row>
    <row r="58" spans="1:14" x14ac:dyDescent="0.2">
      <c r="A58" s="63"/>
      <c r="C58" t="s">
        <v>84</v>
      </c>
      <c r="N58" s="63"/>
    </row>
    <row r="59" spans="1:14" ht="105.95" customHeight="1" x14ac:dyDescent="0.2">
      <c r="A59" s="63"/>
      <c r="C59" s="59" t="s">
        <v>9</v>
      </c>
      <c r="D59" s="113" t="s">
        <v>10</v>
      </c>
      <c r="E59" s="62" t="s">
        <v>59</v>
      </c>
      <c r="F59" s="62" t="s">
        <v>60</v>
      </c>
      <c r="G59" s="62" t="s">
        <v>61</v>
      </c>
      <c r="H59" s="62" t="s">
        <v>62</v>
      </c>
      <c r="N59" s="63"/>
    </row>
    <row r="60" spans="1:14" x14ac:dyDescent="0.2">
      <c r="A60" s="63"/>
      <c r="C60" s="59" t="str">
        <f>'Output_DE marinas'!B12</f>
        <v>Inland water marina 1</v>
      </c>
      <c r="D60" s="59" t="str">
        <f>'Output_DE marinas'!C12</f>
        <v>DE</v>
      </c>
      <c r="E60" s="96">
        <f>'DE Marinas_Scenario_Calc'!R21</f>
        <v>158.01983881097229</v>
      </c>
      <c r="F60" s="96">
        <f>'DE Marinas_Scenario_Calc'!S21</f>
        <v>329.07051382895753</v>
      </c>
      <c r="G60" s="96">
        <f>'DE Marinas_Scenario_Calc'!T21</f>
        <v>4.8062270706277131E-2</v>
      </c>
      <c r="H60" s="96">
        <f>'DE Marinas_Scenario_Calc'!U21</f>
        <v>0.10008791444792411</v>
      </c>
      <c r="N60" s="63"/>
    </row>
    <row r="61" spans="1:14" x14ac:dyDescent="0.2">
      <c r="A61" s="63"/>
      <c r="C61" s="59" t="str">
        <f>'Output_DE marinas'!B13</f>
        <v>Inland water marina 2</v>
      </c>
      <c r="D61" s="59" t="str">
        <f>'Output_DE marinas'!C13</f>
        <v>DE</v>
      </c>
      <c r="E61" s="96">
        <f>'DE Marinas_Scenario_Calc'!R22</f>
        <v>103.64774262651568</v>
      </c>
      <c r="F61" s="96">
        <f>'DE Marinas_Scenario_Calc'!S22</f>
        <v>1868.0197165892748</v>
      </c>
      <c r="G61" s="96">
        <f>'DE Marinas_Scenario_Calc'!T22</f>
        <v>3.503753336913449E-2</v>
      </c>
      <c r="H61" s="96">
        <f>'DE Marinas_Scenario_Calc'!U22</f>
        <v>0.63147350625028231</v>
      </c>
      <c r="N61" s="63"/>
    </row>
    <row r="62" spans="1:14" x14ac:dyDescent="0.2">
      <c r="A62" s="63"/>
      <c r="C62" s="59" t="str">
        <f>'Output_DE marinas'!B14</f>
        <v>Inland water marina 3</v>
      </c>
      <c r="D62" s="59" t="str">
        <f>'Output_DE marinas'!C14</f>
        <v>DE</v>
      </c>
      <c r="E62" s="96">
        <f>'DE Marinas_Scenario_Calc'!R23</f>
        <v>156.15065916791963</v>
      </c>
      <c r="F62" s="96">
        <f>'DE Marinas_Scenario_Calc'!S23</f>
        <v>5568.3765773812838</v>
      </c>
      <c r="G62" s="96">
        <f>'DE Marinas_Scenario_Calc'!T23</f>
        <v>7.0813785633960485E-2</v>
      </c>
      <c r="H62" s="96">
        <f>'DE Marinas_Scenario_Calc'!U23</f>
        <v>2.5252395784717203</v>
      </c>
      <c r="N62" s="63"/>
    </row>
    <row r="63" spans="1:14" x14ac:dyDescent="0.2">
      <c r="A63" s="63"/>
      <c r="C63" s="59" t="str">
        <f>'Output_DE marinas'!B15</f>
        <v>Inland water marina 4</v>
      </c>
      <c r="D63" s="59" t="str">
        <f>'Output_DE marinas'!C15</f>
        <v>DE</v>
      </c>
      <c r="E63" s="96">
        <f>'DE Marinas_Scenario_Calc'!R24</f>
        <v>36.349504200273756</v>
      </c>
      <c r="F63" s="96">
        <f>'DE Marinas_Scenario_Calc'!S24</f>
        <v>2573.6811297670861</v>
      </c>
      <c r="G63" s="96">
        <f>'DE Marinas_Scenario_Calc'!T24</f>
        <v>2.5396210622581808E-2</v>
      </c>
      <c r="H63" s="96">
        <f>'DE Marinas_Scenario_Calc'!U24</f>
        <v>1.798146903535597</v>
      </c>
      <c r="N63" s="63"/>
    </row>
    <row r="64" spans="1:14" x14ac:dyDescent="0.2">
      <c r="A64" s="63"/>
      <c r="C64" s="59" t="str">
        <f>'Output_DE marinas'!B16</f>
        <v>Inland water marina 5</v>
      </c>
      <c r="D64" s="59" t="str">
        <f>'Output_DE marinas'!C16</f>
        <v>DE</v>
      </c>
      <c r="E64" s="96">
        <f>'DE Marinas_Scenario_Calc'!R25</f>
        <v>9.6487507287895991</v>
      </c>
      <c r="F64" s="96">
        <f>'DE Marinas_Scenario_Calc'!S25</f>
        <v>653.46478352382235</v>
      </c>
      <c r="G64" s="96">
        <f>'DE Marinas_Scenario_Calc'!T25</f>
        <v>5.1953977154598216E-3</v>
      </c>
      <c r="H64" s="96">
        <f>'DE Marinas_Scenario_Calc'!U25</f>
        <v>0.35186000256046845</v>
      </c>
      <c r="N64" s="63"/>
    </row>
    <row r="65" spans="1:14" x14ac:dyDescent="0.2">
      <c r="A65" s="63"/>
      <c r="C65" s="59" t="str">
        <f>'Output_DE marinas'!B17</f>
        <v>Inland water marina 6</v>
      </c>
      <c r="D65" s="59" t="str">
        <f>'Output_DE marinas'!C17</f>
        <v>DE</v>
      </c>
      <c r="E65" s="96">
        <f>'DE Marinas_Scenario_Calc'!R26</f>
        <v>26.031482664809346</v>
      </c>
      <c r="F65" s="96">
        <f>'DE Marinas_Scenario_Calc'!S26</f>
        <v>386.462018138345</v>
      </c>
      <c r="G65" s="96">
        <f>'DE Marinas_Scenario_Calc'!T26</f>
        <v>2.815791492294047E-2</v>
      </c>
      <c r="H65" s="96">
        <f>'DE Marinas_Scenario_Calc'!U26</f>
        <v>0.41803091457897373</v>
      </c>
      <c r="N65" s="63"/>
    </row>
    <row r="66" spans="1:14" x14ac:dyDescent="0.2">
      <c r="A66" s="63"/>
      <c r="C66" s="59" t="str">
        <f>'Output_DE marinas'!B18</f>
        <v>Inland water marina 7</v>
      </c>
      <c r="D66" s="59" t="str">
        <f>'Output_DE marinas'!C18</f>
        <v>DE</v>
      </c>
      <c r="E66" s="96">
        <f>'DE Marinas_Scenario_Calc'!R27</f>
        <v>131.4535233529848</v>
      </c>
      <c r="F66" s="96">
        <f>'DE Marinas_Scenario_Calc'!S27</f>
        <v>178.98851667851559</v>
      </c>
      <c r="G66" s="96">
        <f>'DE Marinas_Scenario_Calc'!T27</f>
        <v>0.10047080033526634</v>
      </c>
      <c r="H66" s="96">
        <f>'DE Marinas_Scenario_Calc'!U27</f>
        <v>0.13680211206752976</v>
      </c>
      <c r="N66" s="63"/>
    </row>
    <row r="67" spans="1:14" x14ac:dyDescent="0.2">
      <c r="A67" s="63"/>
      <c r="C67" s="59" t="str">
        <f>'Output_DE marinas'!B19</f>
        <v>Inland water marina 8</v>
      </c>
      <c r="D67" s="59" t="str">
        <f>'Output_DE marinas'!C19</f>
        <v>DE</v>
      </c>
      <c r="E67" s="96">
        <f>'DE Marinas_Scenario_Calc'!R28</f>
        <v>204.7889357338145</v>
      </c>
      <c r="F67" s="96">
        <f>'DE Marinas_Scenario_Calc'!S28</f>
        <v>202997.5289663056</v>
      </c>
      <c r="G67" s="96">
        <f>'DE Marinas_Scenario_Calc'!T28</f>
        <v>9.5602773294860832E-2</v>
      </c>
      <c r="H67" s="96">
        <f>'DE Marinas_Scenario_Calc'!U28</f>
        <v>94.766479870435631</v>
      </c>
      <c r="N67" s="63"/>
    </row>
    <row r="68" spans="1:14" x14ac:dyDescent="0.2">
      <c r="A68" s="63"/>
      <c r="C68" s="59" t="str">
        <f>'Output_DE marinas'!B20</f>
        <v>Inland water marina 9</v>
      </c>
      <c r="D68" s="59" t="str">
        <f>'Output_DE marinas'!C20</f>
        <v>DE</v>
      </c>
      <c r="E68" s="96">
        <f>'DE Marinas_Scenario_Calc'!R29</f>
        <v>37.653200826468208</v>
      </c>
      <c r="F68" s="96">
        <f>'DE Marinas_Scenario_Calc'!S29</f>
        <v>420.94546291417987</v>
      </c>
      <c r="G68" s="96">
        <f>'DE Marinas_Scenario_Calc'!T29</f>
        <v>0.10790515969423768</v>
      </c>
      <c r="H68" s="96">
        <f>'DE Marinas_Scenario_Calc'!U29</f>
        <v>1.2063300437689579</v>
      </c>
      <c r="N68" s="63"/>
    </row>
    <row r="69" spans="1:14" x14ac:dyDescent="0.2">
      <c r="A69" s="63"/>
      <c r="C69" s="59" t="str">
        <f>'Output_DE marinas'!B21</f>
        <v>Inland water marina 10</v>
      </c>
      <c r="D69" s="59" t="str">
        <f>'Output_DE marinas'!C21</f>
        <v>DE</v>
      </c>
      <c r="E69" s="96">
        <f>'DE Marinas_Scenario_Calc'!R30</f>
        <v>3.9740526248811716</v>
      </c>
      <c r="F69" s="96">
        <f>'DE Marinas_Scenario_Calc'!S30</f>
        <v>6.6994727425243319</v>
      </c>
      <c r="G69" s="96">
        <f>'DE Marinas_Scenario_Calc'!T30</f>
        <v>4.113890537300228E-3</v>
      </c>
      <c r="H69" s="96">
        <f>'DE Marinas_Scenario_Calc'!U30</f>
        <v>6.9352119876584656E-3</v>
      </c>
      <c r="N69" s="63"/>
    </row>
    <row r="70" spans="1:14" x14ac:dyDescent="0.2">
      <c r="A70" s="63"/>
      <c r="C70" s="59" t="str">
        <f>'Output_DE marinas'!B22</f>
        <v>Inland water marina 11</v>
      </c>
      <c r="D70" s="59" t="str">
        <f>'Output_DE marinas'!C22</f>
        <v>DE</v>
      </c>
      <c r="E70" s="96">
        <f>'DE Marinas_Scenario_Calc'!R31</f>
        <v>254.11691884803486</v>
      </c>
      <c r="F70" s="96">
        <f>'DE Marinas_Scenario_Calc'!S31</f>
        <v>3806.091420275061</v>
      </c>
      <c r="G70" s="96">
        <f>'DE Marinas_Scenario_Calc'!T31</f>
        <v>0.14181843706716513</v>
      </c>
      <c r="H70" s="96">
        <f>'DE Marinas_Scenario_Calc'!U31</f>
        <v>2.124116509631985</v>
      </c>
      <c r="N70" s="63"/>
    </row>
    <row r="71" spans="1:14" x14ac:dyDescent="0.2">
      <c r="A71" s="63"/>
      <c r="C71" s="59" t="str">
        <f>'Output_DE marinas'!B23</f>
        <v>Inland water marina 12</v>
      </c>
      <c r="D71" s="59" t="str">
        <f>'Output_DE marinas'!C23</f>
        <v>DE</v>
      </c>
      <c r="E71" s="96">
        <f>'DE Marinas_Scenario_Calc'!R32</f>
        <v>318.07073004505236</v>
      </c>
      <c r="F71" s="96">
        <f>'DE Marinas_Scenario_Calc'!S32</f>
        <v>2047.3272948993829</v>
      </c>
      <c r="G71" s="96">
        <f>'DE Marinas_Scenario_Calc'!T32</f>
        <v>0.22215523202736345</v>
      </c>
      <c r="H71" s="96">
        <f>'DE Marinas_Scenario_Calc'!U32</f>
        <v>1.4299475661214136</v>
      </c>
      <c r="N71" s="63"/>
    </row>
    <row r="72" spans="1:14" x14ac:dyDescent="0.2">
      <c r="A72" s="63"/>
      <c r="C72" s="59" t="str">
        <f>'Output_DE marinas'!B24</f>
        <v>Inland water marina 13</v>
      </c>
      <c r="D72" s="59" t="str">
        <f>'Output_DE marinas'!C24</f>
        <v>DE</v>
      </c>
      <c r="E72" s="96">
        <f>'DE Marinas_Scenario_Calc'!R33</f>
        <v>115.82083126493154</v>
      </c>
      <c r="F72" s="96">
        <f>'DE Marinas_Scenario_Calc'!S33</f>
        <v>2562.6715484115889</v>
      </c>
      <c r="G72" s="96">
        <f>'DE Marinas_Scenario_Calc'!T33</f>
        <v>5.5641160070826132E-2</v>
      </c>
      <c r="H72" s="96">
        <f>'DE Marinas_Scenario_Calc'!U33</f>
        <v>1.2311258357626198</v>
      </c>
      <c r="N72" s="63"/>
    </row>
    <row r="73" spans="1:14" x14ac:dyDescent="0.2">
      <c r="A73" s="63"/>
      <c r="C73" s="59" t="str">
        <f>'Output_DE marinas'!B25</f>
        <v>Inland water marina 14</v>
      </c>
      <c r="D73" s="59" t="str">
        <f>'Output_DE marinas'!C25</f>
        <v>DE</v>
      </c>
      <c r="E73" s="96">
        <f>'DE Marinas_Scenario_Calc'!R34</f>
        <v>63.366396068230401</v>
      </c>
      <c r="F73" s="96">
        <f>'DE Marinas_Scenario_Calc'!S34</f>
        <v>49.850872643054814</v>
      </c>
      <c r="G73" s="96">
        <f>'DE Marinas_Scenario_Calc'!T34</f>
        <v>1.4056530974742295E-2</v>
      </c>
      <c r="H73" s="96">
        <f>'DE Marinas_Scenario_Calc'!U34</f>
        <v>1.1058390135410025E-2</v>
      </c>
      <c r="N73" s="63"/>
    </row>
    <row r="74" spans="1:14" x14ac:dyDescent="0.2">
      <c r="A74" s="63"/>
      <c r="C74" s="59" t="str">
        <f>'Output_DE marinas'!B26</f>
        <v>Inland water marina 15</v>
      </c>
      <c r="D74" s="59" t="str">
        <f>'Output_DE marinas'!C26</f>
        <v>DE</v>
      </c>
      <c r="E74" s="96">
        <f>'DE Marinas_Scenario_Calc'!R35</f>
        <v>392.74884123015602</v>
      </c>
      <c r="F74" s="96">
        <f>'DE Marinas_Scenario_Calc'!S35</f>
        <v>778.62650952644003</v>
      </c>
      <c r="G74" s="96">
        <f>'DE Marinas_Scenario_Calc'!T35</f>
        <v>3.411335775563383E-2</v>
      </c>
      <c r="H74" s="96">
        <f>'DE Marinas_Scenario_Calc'!U35</f>
        <v>6.7629900510493807E-2</v>
      </c>
      <c r="N74" s="63"/>
    </row>
    <row r="75" spans="1:14" x14ac:dyDescent="0.2">
      <c r="A75" s="63"/>
      <c r="C75" s="59" t="str">
        <f>'Output_DE marinas'!B27</f>
        <v>Inland water marina 16</v>
      </c>
      <c r="D75" s="59" t="str">
        <f>'Output_DE marinas'!C27</f>
        <v>DE</v>
      </c>
      <c r="E75" s="96">
        <f>'DE Marinas_Scenario_Calc'!R36</f>
        <v>358.96839767784689</v>
      </c>
      <c r="F75" s="96">
        <f>'DE Marinas_Scenario_Calc'!S36</f>
        <v>2691.1383048431449</v>
      </c>
      <c r="G75" s="96">
        <f>'DE Marinas_Scenario_Calc'!T36</f>
        <v>4.4691402819368849E-2</v>
      </c>
      <c r="H75" s="96">
        <f>'DE Marinas_Scenario_Calc'!U36</f>
        <v>0.33504549939359807</v>
      </c>
      <c r="N75" s="63"/>
    </row>
    <row r="76" spans="1:14" x14ac:dyDescent="0.2">
      <c r="A76" s="63"/>
      <c r="C76" s="59" t="str">
        <f>'Output_DE marinas'!B28</f>
        <v>Inland water marina 17</v>
      </c>
      <c r="D76" s="59" t="str">
        <f>'Output_DE marinas'!C28</f>
        <v>DE</v>
      </c>
      <c r="E76" s="96">
        <f>'DE Marinas_Scenario_Calc'!R37</f>
        <v>100.14877457417937</v>
      </c>
      <c r="F76" s="96">
        <f>'DE Marinas_Scenario_Calc'!S37</f>
        <v>1418.1817041074053</v>
      </c>
      <c r="G76" s="96">
        <f>'DE Marinas_Scenario_Calc'!T37</f>
        <v>0.15677015361919716</v>
      </c>
      <c r="H76" s="96">
        <f>'DE Marinas_Scenario_Calc'!U37</f>
        <v>2.2199828638220831</v>
      </c>
      <c r="N76" s="63"/>
    </row>
    <row r="77" spans="1:14" x14ac:dyDescent="0.2">
      <c r="A77" s="63"/>
      <c r="B77"/>
      <c r="N77" s="63"/>
    </row>
    <row r="78" spans="1:14" x14ac:dyDescent="0.2">
      <c r="A78" s="63"/>
      <c r="B78" s="63"/>
      <c r="C78" s="63"/>
      <c r="D78" s="63"/>
      <c r="E78" s="63"/>
      <c r="F78" s="63"/>
      <c r="G78" s="63"/>
      <c r="H78" s="63"/>
      <c r="I78" s="63"/>
      <c r="J78" s="63"/>
      <c r="K78" s="63"/>
      <c r="L78" s="63"/>
      <c r="M78" s="63"/>
      <c r="N78" s="63"/>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28:D28"/>
    <mergeCell ref="C30:D30"/>
    <mergeCell ref="C31:D31"/>
    <mergeCell ref="C32:D32"/>
    <mergeCell ref="C29:D29"/>
    <mergeCell ref="C9:F9"/>
    <mergeCell ref="C11:F11"/>
    <mergeCell ref="C15:F15"/>
    <mergeCell ref="C21:F21"/>
    <mergeCell ref="C18:E18"/>
    <mergeCell ref="C19:E19"/>
    <mergeCell ref="C16:E16"/>
    <mergeCell ref="C17:E17"/>
  </mergeCells>
  <conditionalFormatting sqref="E60:H76">
    <cfRule type="cellIs" dxfId="8" priority="4" operator="greaterThan">
      <formula>1</formula>
    </cfRule>
  </conditionalFormatting>
  <conditionalFormatting sqref="I30:L32">
    <cfRule type="cellIs" dxfId="7" priority="2" operator="greaterThan">
      <formula>1</formula>
    </cfRule>
  </conditionalFormatting>
  <conditionalFormatting sqref="I29:L29">
    <cfRule type="cellIs" dxfId="6" priority="1" operator="greaterThan">
      <formula>1</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2:N50"/>
  <sheetViews>
    <sheetView zoomScale="90" zoomScaleNormal="90" workbookViewId="0">
      <selection activeCell="D37" sqref="D37"/>
    </sheetView>
  </sheetViews>
  <sheetFormatPr baseColWidth="10" defaultColWidth="9" defaultRowHeight="12.75" x14ac:dyDescent="0.2"/>
  <cols>
    <col min="1" max="1" width="9" style="1"/>
    <col min="2" max="2" width="22.625" style="1" customWidth="1"/>
    <col min="3" max="3" width="3.875" style="1" customWidth="1"/>
    <col min="4" max="4" width="25.625" style="1" customWidth="1"/>
    <col min="5" max="12" width="11.625" style="1" customWidth="1"/>
    <col min="13" max="16384" width="9" style="1"/>
  </cols>
  <sheetData>
    <row r="2" spans="2:13" ht="21" thickBot="1" x14ac:dyDescent="0.35">
      <c r="B2" s="141" t="s">
        <v>91</v>
      </c>
      <c r="C2" s="141"/>
      <c r="D2" s="141"/>
      <c r="E2" s="141"/>
      <c r="F2" s="141"/>
      <c r="G2" s="141"/>
      <c r="H2" s="141"/>
      <c r="I2" s="141"/>
      <c r="J2" s="141"/>
      <c r="K2" s="141"/>
      <c r="L2" s="141"/>
      <c r="M2" s="141"/>
    </row>
    <row r="3" spans="2:13" ht="13.5" thickTop="1" x14ac:dyDescent="0.2">
      <c r="B3" s="118" t="str">
        <f>Tooltype</f>
        <v>Calculator tool for the German scenario for inland water marinas</v>
      </c>
      <c r="C3" s="118"/>
      <c r="D3" s="118"/>
      <c r="E3" s="118"/>
      <c r="F3" s="81"/>
      <c r="G3" s="81"/>
      <c r="H3" s="81"/>
      <c r="I3" s="81"/>
      <c r="J3" s="81"/>
      <c r="K3" s="81"/>
      <c r="L3" s="81"/>
    </row>
    <row r="4" spans="2:13" ht="15" x14ac:dyDescent="0.2">
      <c r="B4" s="142" t="s">
        <v>81</v>
      </c>
      <c r="C4" s="142"/>
      <c r="D4" s="142"/>
      <c r="E4" s="142"/>
      <c r="F4" s="142"/>
      <c r="G4" s="81"/>
      <c r="H4" s="81"/>
      <c r="I4" s="81"/>
      <c r="J4" s="81"/>
      <c r="K4" s="81"/>
      <c r="L4" s="81"/>
    </row>
    <row r="5" spans="2:13" x14ac:dyDescent="0.2">
      <c r="B5" s="139" t="s">
        <v>116</v>
      </c>
      <c r="C5" s="139"/>
      <c r="D5" s="139"/>
      <c r="E5" s="139"/>
      <c r="F5" s="88">
        <f>PNEC_Aquatic_Inside</f>
        <v>1.7000000000000001E-2</v>
      </c>
      <c r="H5" s="81"/>
      <c r="I5" s="81"/>
      <c r="J5" s="81"/>
      <c r="K5" s="81"/>
      <c r="L5" s="81"/>
    </row>
    <row r="6" spans="2:13" x14ac:dyDescent="0.2">
      <c r="B6" s="139" t="s">
        <v>117</v>
      </c>
      <c r="C6" s="139"/>
      <c r="D6" s="139"/>
      <c r="E6" s="139"/>
      <c r="F6" s="88">
        <f>PNEC_Sediment_Inside</f>
        <v>1.1000000000000001E-3</v>
      </c>
      <c r="H6" s="81"/>
      <c r="I6" s="81"/>
      <c r="J6" s="81"/>
      <c r="K6" s="81"/>
      <c r="L6" s="81"/>
    </row>
    <row r="7" spans="2:13" x14ac:dyDescent="0.2">
      <c r="B7" s="139" t="s">
        <v>118</v>
      </c>
      <c r="C7" s="139"/>
      <c r="D7" s="139"/>
      <c r="E7" s="139"/>
      <c r="F7" s="88">
        <f>PNEC_Aquatic_Surrounding</f>
        <v>1.7000000000000001E-2</v>
      </c>
      <c r="H7" s="81"/>
      <c r="I7" s="81"/>
      <c r="J7" s="81"/>
      <c r="K7" s="81"/>
      <c r="L7" s="81"/>
    </row>
    <row r="8" spans="2:13" x14ac:dyDescent="0.2">
      <c r="B8" s="139" t="s">
        <v>119</v>
      </c>
      <c r="C8" s="139"/>
      <c r="D8" s="139"/>
      <c r="E8" s="139"/>
      <c r="F8" s="88">
        <f>PNEC_Sediment_Surrounding</f>
        <v>1.1000000000000001E-3</v>
      </c>
      <c r="H8" s="81"/>
      <c r="I8" s="81"/>
      <c r="J8" s="81"/>
      <c r="K8" s="81"/>
      <c r="L8" s="81"/>
    </row>
    <row r="10" spans="2:13" ht="15" x14ac:dyDescent="0.2">
      <c r="B10" s="127" t="s">
        <v>181</v>
      </c>
      <c r="C10" s="127"/>
      <c r="D10" s="127"/>
      <c r="E10" s="127"/>
      <c r="F10" s="127"/>
      <c r="G10" s="127"/>
      <c r="H10" s="127"/>
      <c r="I10" s="127"/>
      <c r="J10" s="127"/>
      <c r="K10" s="127"/>
      <c r="L10" s="127"/>
    </row>
    <row r="11" spans="2:13" ht="99.95" customHeight="1" x14ac:dyDescent="0.2">
      <c r="B11" s="87" t="s">
        <v>9</v>
      </c>
      <c r="C11" s="83" t="s">
        <v>109</v>
      </c>
      <c r="D11" s="87" t="s">
        <v>11</v>
      </c>
      <c r="E11" s="10" t="s">
        <v>71</v>
      </c>
      <c r="F11" s="10" t="s">
        <v>124</v>
      </c>
      <c r="G11" s="10" t="s">
        <v>72</v>
      </c>
      <c r="H11" s="10" t="s">
        <v>125</v>
      </c>
      <c r="I11" s="10" t="s">
        <v>120</v>
      </c>
      <c r="J11" s="10" t="s">
        <v>121</v>
      </c>
      <c r="K11" s="10" t="s">
        <v>122</v>
      </c>
      <c r="L11" s="10" t="s">
        <v>123</v>
      </c>
    </row>
    <row r="12" spans="2:13" ht="14.25" x14ac:dyDescent="0.2">
      <c r="B12" s="86" t="s">
        <v>163</v>
      </c>
      <c r="C12" s="8" t="s">
        <v>12</v>
      </c>
      <c r="D12" s="86" t="str">
        <f t="shared" ref="D12:D28" si="0">Compound_Name</f>
        <v>Tralopyril</v>
      </c>
      <c r="E12" s="75">
        <f>'DE Marinas_Scenario_Calc'!J21</f>
        <v>2.6863372597865292</v>
      </c>
      <c r="F12" s="75">
        <f>'DE Marinas_Scenario_Calc'!K21</f>
        <v>0.36197756521185331</v>
      </c>
      <c r="G12" s="75">
        <f>'DE Marinas_Scenario_Calc'!L21</f>
        <v>8.1705860200671125E-4</v>
      </c>
      <c r="H12" s="75">
        <f>'DE Marinas_Scenario_Calc'!M21</f>
        <v>1.1009670589271654E-4</v>
      </c>
      <c r="I12" s="75">
        <f>'DE Marinas_Scenario_Calc'!R21</f>
        <v>158.01983881097229</v>
      </c>
      <c r="J12" s="75">
        <f>'DE Marinas_Scenario_Calc'!S21</f>
        <v>329.07051382895753</v>
      </c>
      <c r="K12" s="75">
        <f>'DE Marinas_Scenario_Calc'!T21</f>
        <v>4.8062270706277131E-2</v>
      </c>
      <c r="L12" s="75">
        <f>'DE Marinas_Scenario_Calc'!U21</f>
        <v>0.10008791444792411</v>
      </c>
    </row>
    <row r="13" spans="2:13" ht="14.25" x14ac:dyDescent="0.2">
      <c r="B13" s="86" t="s">
        <v>164</v>
      </c>
      <c r="C13" s="8" t="s">
        <v>12</v>
      </c>
      <c r="D13" s="86" t="str">
        <f t="shared" si="0"/>
        <v>Tralopyril</v>
      </c>
      <c r="E13" s="75">
        <f>'DE Marinas_Scenario_Calc'!J22</f>
        <v>1.7620116246507667</v>
      </c>
      <c r="F13" s="75">
        <f>'DE Marinas_Scenario_Calc'!K22</f>
        <v>2.0548216882482024</v>
      </c>
      <c r="G13" s="75">
        <f>'DE Marinas_Scenario_Calc'!L22</f>
        <v>5.9563806727528637E-4</v>
      </c>
      <c r="H13" s="75">
        <f>'DE Marinas_Scenario_Calc'!M22</f>
        <v>6.9462085687531057E-4</v>
      </c>
      <c r="I13" s="75">
        <f>'DE Marinas_Scenario_Calc'!R22</f>
        <v>103.64774262651568</v>
      </c>
      <c r="J13" s="75">
        <f>'DE Marinas_Scenario_Calc'!S22</f>
        <v>1868.0197165892748</v>
      </c>
      <c r="K13" s="75">
        <f>'DE Marinas_Scenario_Calc'!T22</f>
        <v>3.503753336913449E-2</v>
      </c>
      <c r="L13" s="75">
        <f>'DE Marinas_Scenario_Calc'!U22</f>
        <v>0.63147350625028231</v>
      </c>
    </row>
    <row r="14" spans="2:13" ht="14.25" x14ac:dyDescent="0.2">
      <c r="B14" s="86" t="s">
        <v>165</v>
      </c>
      <c r="C14" s="8" t="s">
        <v>12</v>
      </c>
      <c r="D14" s="86" t="str">
        <f t="shared" si="0"/>
        <v>Tralopyril</v>
      </c>
      <c r="E14" s="75">
        <f>'DE Marinas_Scenario_Calc'!J23</f>
        <v>2.654561205854634</v>
      </c>
      <c r="F14" s="75">
        <f>'DE Marinas_Scenario_Calc'!K23</f>
        <v>6.1252142351194125</v>
      </c>
      <c r="G14" s="75">
        <f>'DE Marinas_Scenario_Calc'!L23</f>
        <v>1.2038343557773284E-3</v>
      </c>
      <c r="H14" s="75">
        <f>'DE Marinas_Scenario_Calc'!M23</f>
        <v>2.7777635363188924E-3</v>
      </c>
      <c r="I14" s="75">
        <f>'DE Marinas_Scenario_Calc'!R23</f>
        <v>156.15065916791963</v>
      </c>
      <c r="J14" s="75">
        <f>'DE Marinas_Scenario_Calc'!S23</f>
        <v>5568.3765773812838</v>
      </c>
      <c r="K14" s="75">
        <f>'DE Marinas_Scenario_Calc'!T23</f>
        <v>7.0813785633960485E-2</v>
      </c>
      <c r="L14" s="75">
        <f>'DE Marinas_Scenario_Calc'!U23</f>
        <v>2.5252395784717203</v>
      </c>
    </row>
    <row r="15" spans="2:13" ht="14.25" x14ac:dyDescent="0.2">
      <c r="B15" s="86" t="s">
        <v>166</v>
      </c>
      <c r="C15" s="8" t="s">
        <v>12</v>
      </c>
      <c r="D15" s="86" t="str">
        <f t="shared" si="0"/>
        <v>Tralopyril</v>
      </c>
      <c r="E15" s="75">
        <f>'DE Marinas_Scenario_Calc'!J24</f>
        <v>0.61794157140465389</v>
      </c>
      <c r="F15" s="75">
        <f>'DE Marinas_Scenario_Calc'!K24</f>
        <v>2.831049242743795</v>
      </c>
      <c r="G15" s="75">
        <f>'DE Marinas_Scenario_Calc'!L24</f>
        <v>4.3173558058389079E-4</v>
      </c>
      <c r="H15" s="75">
        <f>'DE Marinas_Scenario_Calc'!M24</f>
        <v>1.9779615938891569E-3</v>
      </c>
      <c r="I15" s="75">
        <f>'DE Marinas_Scenario_Calc'!R24</f>
        <v>36.349504200273756</v>
      </c>
      <c r="J15" s="75">
        <f>'DE Marinas_Scenario_Calc'!S24</f>
        <v>2573.6811297670861</v>
      </c>
      <c r="K15" s="75">
        <f>'DE Marinas_Scenario_Calc'!T24</f>
        <v>2.5396210622581808E-2</v>
      </c>
      <c r="L15" s="75">
        <f>'DE Marinas_Scenario_Calc'!U24</f>
        <v>1.798146903535597</v>
      </c>
    </row>
    <row r="16" spans="2:13" ht="14.25" x14ac:dyDescent="0.2">
      <c r="B16" s="86" t="s">
        <v>167</v>
      </c>
      <c r="C16" s="8" t="s">
        <v>12</v>
      </c>
      <c r="D16" s="86" t="str">
        <f t="shared" si="0"/>
        <v>Tralopyril</v>
      </c>
      <c r="E16" s="75">
        <f>'DE Marinas_Scenario_Calc'!J25</f>
        <v>0.16402876238942318</v>
      </c>
      <c r="F16" s="75">
        <f>'DE Marinas_Scenario_Calc'!K25</f>
        <v>0.71881126187620459</v>
      </c>
      <c r="G16" s="75">
        <f>'DE Marinas_Scenario_Calc'!L25</f>
        <v>8.8321761162816977E-5</v>
      </c>
      <c r="H16" s="75">
        <f>'DE Marinas_Scenario_Calc'!M25</f>
        <v>3.8704600281651535E-4</v>
      </c>
      <c r="I16" s="75">
        <f>'DE Marinas_Scenario_Calc'!R25</f>
        <v>9.6487507287895991</v>
      </c>
      <c r="J16" s="75">
        <f>'DE Marinas_Scenario_Calc'!S25</f>
        <v>653.46478352382235</v>
      </c>
      <c r="K16" s="75">
        <f>'DE Marinas_Scenario_Calc'!T25</f>
        <v>5.1953977154598216E-3</v>
      </c>
      <c r="L16" s="75">
        <f>'DE Marinas_Scenario_Calc'!U25</f>
        <v>0.35186000256046845</v>
      </c>
    </row>
    <row r="17" spans="2:12" ht="14.25" x14ac:dyDescent="0.2">
      <c r="B17" s="86" t="s">
        <v>168</v>
      </c>
      <c r="C17" s="8" t="s">
        <v>12</v>
      </c>
      <c r="D17" s="86" t="str">
        <f t="shared" si="0"/>
        <v>Tralopyril</v>
      </c>
      <c r="E17" s="75">
        <f>'DE Marinas_Scenario_Calc'!J26</f>
        <v>0.44253520530175888</v>
      </c>
      <c r="F17" s="75">
        <f>'DE Marinas_Scenario_Calc'!K26</f>
        <v>0.42510821995217951</v>
      </c>
      <c r="G17" s="75">
        <f>'DE Marinas_Scenario_Calc'!L26</f>
        <v>4.7868455368998801E-4</v>
      </c>
      <c r="H17" s="75">
        <f>'DE Marinas_Scenario_Calc'!M26</f>
        <v>4.5983400603687115E-4</v>
      </c>
      <c r="I17" s="75">
        <f>'DE Marinas_Scenario_Calc'!R26</f>
        <v>26.031482664809346</v>
      </c>
      <c r="J17" s="75">
        <f>'DE Marinas_Scenario_Calc'!S26</f>
        <v>386.462018138345</v>
      </c>
      <c r="K17" s="75">
        <f>'DE Marinas_Scenario_Calc'!T26</f>
        <v>2.815791492294047E-2</v>
      </c>
      <c r="L17" s="75">
        <f>'DE Marinas_Scenario_Calc'!U26</f>
        <v>0.41803091457897373</v>
      </c>
    </row>
    <row r="18" spans="2:12" ht="14.25" x14ac:dyDescent="0.2">
      <c r="B18" s="86" t="s">
        <v>169</v>
      </c>
      <c r="C18" s="8" t="s">
        <v>12</v>
      </c>
      <c r="D18" s="86" t="str">
        <f t="shared" si="0"/>
        <v>Tralopyril</v>
      </c>
      <c r="E18" s="75">
        <f>'DE Marinas_Scenario_Calc'!J27</f>
        <v>2.2347098970007417</v>
      </c>
      <c r="F18" s="75">
        <f>'DE Marinas_Scenario_Calc'!K27</f>
        <v>0.19688736834636716</v>
      </c>
      <c r="G18" s="75">
        <f>'DE Marinas_Scenario_Calc'!L27</f>
        <v>1.7080036056995279E-3</v>
      </c>
      <c r="H18" s="75">
        <f>'DE Marinas_Scenario_Calc'!M27</f>
        <v>1.5048232327428276E-4</v>
      </c>
      <c r="I18" s="75">
        <f>'DE Marinas_Scenario_Calc'!R27</f>
        <v>131.4535233529848</v>
      </c>
      <c r="J18" s="75">
        <f>'DE Marinas_Scenario_Calc'!S27</f>
        <v>178.98851667851559</v>
      </c>
      <c r="K18" s="75">
        <f>'DE Marinas_Scenario_Calc'!T27</f>
        <v>0.10047080033526634</v>
      </c>
      <c r="L18" s="75">
        <f>'DE Marinas_Scenario_Calc'!U27</f>
        <v>0.13680211206752976</v>
      </c>
    </row>
    <row r="19" spans="2:12" ht="14.25" x14ac:dyDescent="0.2">
      <c r="B19" s="86" t="s">
        <v>170</v>
      </c>
      <c r="C19" s="8" t="s">
        <v>12</v>
      </c>
      <c r="D19" s="86" t="str">
        <f t="shared" si="0"/>
        <v>Tralopyril</v>
      </c>
      <c r="E19" s="75">
        <f>'DE Marinas_Scenario_Calc'!J28</f>
        <v>3.4814119074748469</v>
      </c>
      <c r="F19" s="75">
        <f>'DE Marinas_Scenario_Calc'!K28</f>
        <v>223.29728186293619</v>
      </c>
      <c r="G19" s="75">
        <f>'DE Marinas_Scenario_Calc'!L28</f>
        <v>1.6252471460126343E-3</v>
      </c>
      <c r="H19" s="75">
        <f>'DE Marinas_Scenario_Calc'!M28</f>
        <v>0.1042431278574792</v>
      </c>
      <c r="I19" s="75">
        <f>'DE Marinas_Scenario_Calc'!R28</f>
        <v>204.7889357338145</v>
      </c>
      <c r="J19" s="75">
        <f>'DE Marinas_Scenario_Calc'!S28</f>
        <v>202997.5289663056</v>
      </c>
      <c r="K19" s="75">
        <f>'DE Marinas_Scenario_Calc'!T28</f>
        <v>9.5602773294860832E-2</v>
      </c>
      <c r="L19" s="75">
        <f>'DE Marinas_Scenario_Calc'!U28</f>
        <v>94.766479870435631</v>
      </c>
    </row>
    <row r="20" spans="2:12" ht="14.25" x14ac:dyDescent="0.2">
      <c r="B20" s="86" t="s">
        <v>171</v>
      </c>
      <c r="C20" s="8" t="s">
        <v>12</v>
      </c>
      <c r="D20" s="86" t="str">
        <f t="shared" si="0"/>
        <v>Tralopyril</v>
      </c>
      <c r="E20" s="75">
        <f>'DE Marinas_Scenario_Calc'!J29</f>
        <v>0.64010441404995955</v>
      </c>
      <c r="F20" s="75">
        <f>'DE Marinas_Scenario_Calc'!K29</f>
        <v>0.4630400092055979</v>
      </c>
      <c r="G20" s="75">
        <f>'DE Marinas_Scenario_Calc'!L29</f>
        <v>1.8343877148020407E-3</v>
      </c>
      <c r="H20" s="75">
        <f>'DE Marinas_Scenario_Calc'!M29</f>
        <v>1.3269630481458539E-3</v>
      </c>
      <c r="I20" s="75">
        <f>'DE Marinas_Scenario_Calc'!R29</f>
        <v>37.653200826468208</v>
      </c>
      <c r="J20" s="75">
        <f>'DE Marinas_Scenario_Calc'!S29</f>
        <v>420.94546291417987</v>
      </c>
      <c r="K20" s="75">
        <f>'DE Marinas_Scenario_Calc'!T29</f>
        <v>0.10790515969423768</v>
      </c>
      <c r="L20" s="75">
        <f>'DE Marinas_Scenario_Calc'!U29</f>
        <v>1.2063300437689579</v>
      </c>
    </row>
    <row r="21" spans="2:12" ht="28.5" x14ac:dyDescent="0.2">
      <c r="B21" s="86" t="s">
        <v>172</v>
      </c>
      <c r="C21" s="8" t="s">
        <v>12</v>
      </c>
      <c r="D21" s="86" t="str">
        <f t="shared" si="0"/>
        <v>Tralopyril</v>
      </c>
      <c r="E21" s="75">
        <f>'DE Marinas_Scenario_Calc'!J30</f>
        <v>6.7558894622979926E-2</v>
      </c>
      <c r="F21" s="75">
        <f>'DE Marinas_Scenario_Calc'!K30</f>
        <v>7.3694200167767655E-3</v>
      </c>
      <c r="G21" s="75">
        <f>'DE Marinas_Scenario_Calc'!L30</f>
        <v>6.9936139134103885E-5</v>
      </c>
      <c r="H21" s="75">
        <f>'DE Marinas_Scenario_Calc'!M30</f>
        <v>7.6287331864243129E-6</v>
      </c>
      <c r="I21" s="75">
        <f>'DE Marinas_Scenario_Calc'!R30</f>
        <v>3.9740526248811716</v>
      </c>
      <c r="J21" s="75">
        <f>'DE Marinas_Scenario_Calc'!S30</f>
        <v>6.6994727425243319</v>
      </c>
      <c r="K21" s="75">
        <f>'DE Marinas_Scenario_Calc'!T30</f>
        <v>4.113890537300228E-3</v>
      </c>
      <c r="L21" s="75">
        <f>'DE Marinas_Scenario_Calc'!U30</f>
        <v>6.9352119876584656E-3</v>
      </c>
    </row>
    <row r="22" spans="2:12" ht="28.5" x14ac:dyDescent="0.2">
      <c r="B22" s="86" t="s">
        <v>173</v>
      </c>
      <c r="C22" s="8" t="s">
        <v>12</v>
      </c>
      <c r="D22" s="86" t="str">
        <f t="shared" si="0"/>
        <v>Tralopyril</v>
      </c>
      <c r="E22" s="75">
        <f>'DE Marinas_Scenario_Calc'!J31</f>
        <v>4.319987620416593</v>
      </c>
      <c r="F22" s="75">
        <f>'DE Marinas_Scenario_Calc'!K31</f>
        <v>4.1867005623025673</v>
      </c>
      <c r="G22" s="75">
        <f>'DE Marinas_Scenario_Calc'!L31</f>
        <v>2.4109134301418074E-3</v>
      </c>
      <c r="H22" s="75">
        <f>'DE Marinas_Scenario_Calc'!M31</f>
        <v>2.3365281605951835E-3</v>
      </c>
      <c r="I22" s="75">
        <f>'DE Marinas_Scenario_Calc'!R31</f>
        <v>254.11691884803486</v>
      </c>
      <c r="J22" s="75">
        <f>'DE Marinas_Scenario_Calc'!S31</f>
        <v>3806.091420275061</v>
      </c>
      <c r="K22" s="75">
        <f>'DE Marinas_Scenario_Calc'!T31</f>
        <v>0.14181843706716513</v>
      </c>
      <c r="L22" s="75">
        <f>'DE Marinas_Scenario_Calc'!U31</f>
        <v>2.124116509631985</v>
      </c>
    </row>
    <row r="23" spans="2:12" ht="28.5" x14ac:dyDescent="0.2">
      <c r="B23" s="86" t="s">
        <v>174</v>
      </c>
      <c r="C23" s="8" t="s">
        <v>12</v>
      </c>
      <c r="D23" s="86" t="str">
        <f t="shared" si="0"/>
        <v>Tralopyril</v>
      </c>
      <c r="E23" s="75">
        <f>'DE Marinas_Scenario_Calc'!J32</f>
        <v>5.4072024107658905</v>
      </c>
      <c r="F23" s="75">
        <f>'DE Marinas_Scenario_Calc'!K32</f>
        <v>2.2520600243893214</v>
      </c>
      <c r="G23" s="75">
        <f>'DE Marinas_Scenario_Calc'!L32</f>
        <v>3.7766389444651789E-3</v>
      </c>
      <c r="H23" s="75">
        <f>'DE Marinas_Scenario_Calc'!M32</f>
        <v>1.5729423227335551E-3</v>
      </c>
      <c r="I23" s="75">
        <f>'DE Marinas_Scenario_Calc'!R32</f>
        <v>318.07073004505236</v>
      </c>
      <c r="J23" s="75">
        <f>'DE Marinas_Scenario_Calc'!S32</f>
        <v>2047.3272948993829</v>
      </c>
      <c r="K23" s="75">
        <f>'DE Marinas_Scenario_Calc'!T32</f>
        <v>0.22215523202736345</v>
      </c>
      <c r="L23" s="75">
        <f>'DE Marinas_Scenario_Calc'!U32</f>
        <v>1.4299475661214136</v>
      </c>
    </row>
    <row r="24" spans="2:12" ht="28.5" x14ac:dyDescent="0.2">
      <c r="B24" s="86" t="s">
        <v>175</v>
      </c>
      <c r="C24" s="8" t="s">
        <v>12</v>
      </c>
      <c r="D24" s="86" t="str">
        <f t="shared" si="0"/>
        <v>Tralopyril</v>
      </c>
      <c r="E24" s="75">
        <f>'DE Marinas_Scenario_Calc'!J33</f>
        <v>1.9689541315038364</v>
      </c>
      <c r="F24" s="75">
        <f>'DE Marinas_Scenario_Calc'!K33</f>
        <v>2.8189387032527478</v>
      </c>
      <c r="G24" s="75">
        <f>'DE Marinas_Scenario_Calc'!L33</f>
        <v>9.4589972120404434E-4</v>
      </c>
      <c r="H24" s="75">
        <f>'DE Marinas_Scenario_Calc'!M33</f>
        <v>1.3542384193388818E-3</v>
      </c>
      <c r="I24" s="75">
        <f>'DE Marinas_Scenario_Calc'!R33</f>
        <v>115.82083126493154</v>
      </c>
      <c r="J24" s="75">
        <f>'DE Marinas_Scenario_Calc'!S33</f>
        <v>2562.6715484115889</v>
      </c>
      <c r="K24" s="75">
        <f>'DE Marinas_Scenario_Calc'!T33</f>
        <v>5.5641160070826132E-2</v>
      </c>
      <c r="L24" s="75">
        <f>'DE Marinas_Scenario_Calc'!U33</f>
        <v>1.2311258357626198</v>
      </c>
    </row>
    <row r="25" spans="2:12" ht="28.5" x14ac:dyDescent="0.2">
      <c r="B25" s="86" t="s">
        <v>176</v>
      </c>
      <c r="C25" s="8" t="s">
        <v>12</v>
      </c>
      <c r="D25" s="86" t="str">
        <f t="shared" si="0"/>
        <v>Tralopyril</v>
      </c>
      <c r="E25" s="75">
        <f>'DE Marinas_Scenario_Calc'!J34</f>
        <v>1.0772287331599169</v>
      </c>
      <c r="F25" s="75">
        <f>'DE Marinas_Scenario_Calc'!K34</f>
        <v>5.4835959907360295E-2</v>
      </c>
      <c r="G25" s="75">
        <f>'DE Marinas_Scenario_Calc'!L34</f>
        <v>2.3896102657061904E-4</v>
      </c>
      <c r="H25" s="75">
        <f>'DE Marinas_Scenario_Calc'!M34</f>
        <v>1.2164229148951027E-5</v>
      </c>
      <c r="I25" s="75">
        <f>'DE Marinas_Scenario_Calc'!R34</f>
        <v>63.366396068230401</v>
      </c>
      <c r="J25" s="75">
        <f>'DE Marinas_Scenario_Calc'!S34</f>
        <v>49.850872643054814</v>
      </c>
      <c r="K25" s="75">
        <f>'DE Marinas_Scenario_Calc'!T34</f>
        <v>1.4056530974742295E-2</v>
      </c>
      <c r="L25" s="75">
        <f>'DE Marinas_Scenario_Calc'!U34</f>
        <v>1.1058390135410025E-2</v>
      </c>
    </row>
    <row r="26" spans="2:12" ht="28.5" x14ac:dyDescent="0.2">
      <c r="B26" s="86" t="s">
        <v>177</v>
      </c>
      <c r="C26" s="8" t="s">
        <v>12</v>
      </c>
      <c r="D26" s="86" t="str">
        <f t="shared" si="0"/>
        <v>Tralopyril</v>
      </c>
      <c r="E26" s="75">
        <f>'DE Marinas_Scenario_Calc'!J35</f>
        <v>6.6767303009126531</v>
      </c>
      <c r="F26" s="75">
        <f>'DE Marinas_Scenario_Calc'!K35</f>
        <v>0.85648916047908408</v>
      </c>
      <c r="G26" s="75">
        <f>'DE Marinas_Scenario_Calc'!L35</f>
        <v>5.7992708184577521E-4</v>
      </c>
      <c r="H26" s="75">
        <f>'DE Marinas_Scenario_Calc'!M35</f>
        <v>7.4392890561543199E-5</v>
      </c>
      <c r="I26" s="75">
        <f>'DE Marinas_Scenario_Calc'!R35</f>
        <v>392.74884123015602</v>
      </c>
      <c r="J26" s="75">
        <f>'DE Marinas_Scenario_Calc'!S35</f>
        <v>778.62650952644003</v>
      </c>
      <c r="K26" s="75">
        <f>'DE Marinas_Scenario_Calc'!T35</f>
        <v>3.411335775563383E-2</v>
      </c>
      <c r="L26" s="75">
        <f>'DE Marinas_Scenario_Calc'!U35</f>
        <v>6.7629900510493807E-2</v>
      </c>
    </row>
    <row r="27" spans="2:12" ht="28.5" x14ac:dyDescent="0.2">
      <c r="B27" s="86" t="s">
        <v>178</v>
      </c>
      <c r="C27" s="8" t="s">
        <v>12</v>
      </c>
      <c r="D27" s="86" t="str">
        <f t="shared" si="0"/>
        <v>Tralopyril</v>
      </c>
      <c r="E27" s="75">
        <f>'DE Marinas_Scenario_Calc'!J36</f>
        <v>6.1024627605233972</v>
      </c>
      <c r="F27" s="75">
        <f>'DE Marinas_Scenario_Calc'!K36</f>
        <v>2.9602521353274596</v>
      </c>
      <c r="G27" s="75">
        <f>'DE Marinas_Scenario_Calc'!L36</f>
        <v>7.5975384792927047E-4</v>
      </c>
      <c r="H27" s="75">
        <f>'DE Marinas_Scenario_Calc'!M36</f>
        <v>3.685500493329579E-4</v>
      </c>
      <c r="I27" s="75">
        <f>'DE Marinas_Scenario_Calc'!R36</f>
        <v>358.96839767784689</v>
      </c>
      <c r="J27" s="75">
        <f>'DE Marinas_Scenario_Calc'!S36</f>
        <v>2691.1383048431449</v>
      </c>
      <c r="K27" s="75">
        <f>'DE Marinas_Scenario_Calc'!T36</f>
        <v>4.4691402819368849E-2</v>
      </c>
      <c r="L27" s="75">
        <f>'DE Marinas_Scenario_Calc'!U36</f>
        <v>0.33504549939359807</v>
      </c>
    </row>
    <row r="28" spans="2:12" ht="28.5" x14ac:dyDescent="0.2">
      <c r="B28" s="86" t="s">
        <v>179</v>
      </c>
      <c r="C28" s="8" t="s">
        <v>12</v>
      </c>
      <c r="D28" s="86" t="str">
        <f t="shared" si="0"/>
        <v>Tralopyril</v>
      </c>
      <c r="E28" s="75">
        <f>'DE Marinas_Scenario_Calc'!J37</f>
        <v>1.7025291677610495</v>
      </c>
      <c r="F28" s="75">
        <f>'DE Marinas_Scenario_Calc'!K37</f>
        <v>1.5599998745181458</v>
      </c>
      <c r="G28" s="75">
        <f>'DE Marinas_Scenario_Calc'!L37</f>
        <v>2.6650926115263521E-3</v>
      </c>
      <c r="H28" s="75">
        <f>'DE Marinas_Scenario_Calc'!M37</f>
        <v>2.4419811502042915E-3</v>
      </c>
      <c r="I28" s="75">
        <f>'DE Marinas_Scenario_Calc'!R37</f>
        <v>100.14877457417937</v>
      </c>
      <c r="J28" s="75">
        <f>'DE Marinas_Scenario_Calc'!S37</f>
        <v>1418.1817041074053</v>
      </c>
      <c r="K28" s="75">
        <f>'DE Marinas_Scenario_Calc'!T37</f>
        <v>0.15677015361919716</v>
      </c>
      <c r="L28" s="75">
        <f>'DE Marinas_Scenario_Calc'!U37</f>
        <v>2.2199828638220831</v>
      </c>
    </row>
    <row r="29" spans="2:12" x14ac:dyDescent="0.2">
      <c r="B29" s="140" t="s">
        <v>153</v>
      </c>
      <c r="C29" s="140"/>
      <c r="D29" s="140"/>
      <c r="E29" s="76">
        <f>'DE Marinas_Scenario_Calc'!J38</f>
        <v>1.9689541315038364</v>
      </c>
      <c r="F29" s="76">
        <f>'DE Marinas_Scenario_Calc'!K38</f>
        <v>1.5599998745181458</v>
      </c>
      <c r="G29" s="76">
        <f>'DE Marinas_Scenario_Calc'!L38</f>
        <v>8.1705860200671125E-4</v>
      </c>
      <c r="H29" s="76">
        <f>'DE Marinas_Scenario_Calc'!M38</f>
        <v>6.9462085687531057E-4</v>
      </c>
      <c r="I29" s="76">
        <f>'DE Marinas_Scenario_Calc'!R38</f>
        <v>115.82083126493154</v>
      </c>
      <c r="J29" s="76">
        <f>'DE Marinas_Scenario_Calc'!S38</f>
        <v>1418.1817041074053</v>
      </c>
      <c r="K29" s="76">
        <f>'DE Marinas_Scenario_Calc'!T38</f>
        <v>4.8062270706277131E-2</v>
      </c>
      <c r="L29" s="76">
        <f>'DE Marinas_Scenario_Calc'!U38</f>
        <v>0.63147350625028231</v>
      </c>
    </row>
    <row r="30" spans="2:12" x14ac:dyDescent="0.2">
      <c r="B30" s="140" t="s">
        <v>152</v>
      </c>
      <c r="C30" s="140"/>
      <c r="D30" s="140"/>
      <c r="E30" s="76">
        <f>'DE Marinas_Scenario_Calc'!J39</f>
        <v>2.4709585804458603</v>
      </c>
      <c r="F30" s="76">
        <f>'DE Marinas_Scenario_Calc'!K39</f>
        <v>14.774755134931368</v>
      </c>
      <c r="G30" s="76">
        <f>'DE Marinas_Scenario_Calc'!L39</f>
        <v>1.190002011166316E-3</v>
      </c>
      <c r="H30" s="76">
        <f>'DE Marinas_Scenario_Calc'!M39</f>
        <v>7.0762542285782689E-3</v>
      </c>
      <c r="I30" s="76">
        <f>'DE Marinas_Scenario_Calc'!R39</f>
        <v>145.35050473210944</v>
      </c>
      <c r="J30" s="76">
        <f>'DE Marinas_Scenario_Calc'!S39</f>
        <v>13431.595577210337</v>
      </c>
      <c r="K30" s="76">
        <f>'DE Marinas_Scenario_Calc'!T39</f>
        <v>7.0000118303900946E-2</v>
      </c>
      <c r="L30" s="76">
        <f>'DE Marinas_Scenario_Calc'!U39</f>
        <v>6.4329583896166085</v>
      </c>
    </row>
    <row r="31" spans="2:12" x14ac:dyDescent="0.2">
      <c r="B31" s="140" t="s">
        <v>13</v>
      </c>
      <c r="C31" s="140"/>
      <c r="D31" s="140"/>
      <c r="E31" s="76">
        <f>'DE Marinas_Scenario_Calc'!J40</f>
        <v>6.6767303009126531</v>
      </c>
      <c r="F31" s="76">
        <f>'DE Marinas_Scenario_Calc'!K40</f>
        <v>223.29728186293619</v>
      </c>
      <c r="G31" s="76">
        <f>'DE Marinas_Scenario_Calc'!L40</f>
        <v>3.7766389444651789E-3</v>
      </c>
      <c r="H31" s="76">
        <f>'DE Marinas_Scenario_Calc'!M40</f>
        <v>0.1042431278574792</v>
      </c>
      <c r="I31" s="76">
        <f>'DE Marinas_Scenario_Calc'!R40</f>
        <v>392.74884123015602</v>
      </c>
      <c r="J31" s="76">
        <f>'DE Marinas_Scenario_Calc'!S40</f>
        <v>202997.5289663056</v>
      </c>
      <c r="K31" s="76">
        <f>'DE Marinas_Scenario_Calc'!T40</f>
        <v>0.22215523202736345</v>
      </c>
      <c r="L31" s="76">
        <f>'DE Marinas_Scenario_Calc'!U40</f>
        <v>94.766479870435631</v>
      </c>
    </row>
    <row r="32" spans="2:12" x14ac:dyDescent="0.2">
      <c r="B32" s="140" t="s">
        <v>14</v>
      </c>
      <c r="C32" s="140"/>
      <c r="D32" s="140"/>
      <c r="E32" s="76">
        <f>'DE Marinas_Scenario_Calc'!J41</f>
        <v>6.7558894622979926E-2</v>
      </c>
      <c r="F32" s="76">
        <f>'DE Marinas_Scenario_Calc'!K41</f>
        <v>7.3694200167767655E-3</v>
      </c>
      <c r="G32" s="76">
        <f>'DE Marinas_Scenario_Calc'!L41</f>
        <v>6.9936139134103885E-5</v>
      </c>
      <c r="H32" s="76">
        <f>'DE Marinas_Scenario_Calc'!M41</f>
        <v>7.6287331864243129E-6</v>
      </c>
      <c r="I32" s="76">
        <f>'DE Marinas_Scenario_Calc'!R41</f>
        <v>3.9740526248811716</v>
      </c>
      <c r="J32" s="76">
        <f>'DE Marinas_Scenario_Calc'!S41</f>
        <v>6.6994727425243319</v>
      </c>
      <c r="K32" s="76">
        <f>'DE Marinas_Scenario_Calc'!T41</f>
        <v>4.113890537300228E-3</v>
      </c>
      <c r="L32" s="76">
        <f>'DE Marinas_Scenario_Calc'!U41</f>
        <v>6.9352119876584656E-3</v>
      </c>
    </row>
    <row r="33" spans="2:14" x14ac:dyDescent="0.2">
      <c r="B33" s="81"/>
      <c r="C33" s="81"/>
      <c r="D33" s="81"/>
      <c r="E33" s="81"/>
      <c r="F33" s="81"/>
      <c r="G33" s="81"/>
      <c r="H33" s="81"/>
      <c r="I33" s="81"/>
      <c r="J33" s="81"/>
      <c r="K33" s="81"/>
      <c r="L33" s="81"/>
    </row>
    <row r="34" spans="2:14" x14ac:dyDescent="0.2">
      <c r="B34" s="66"/>
      <c r="C34" s="66"/>
      <c r="D34" s="67"/>
      <c r="E34" s="68"/>
      <c r="F34" s="68"/>
      <c r="G34" s="68"/>
      <c r="H34" s="68"/>
      <c r="I34" s="66"/>
      <c r="J34" s="66"/>
      <c r="K34" s="66"/>
      <c r="L34" s="66"/>
      <c r="M34" s="12"/>
      <c r="N34" s="12"/>
    </row>
    <row r="35" spans="2:14" x14ac:dyDescent="0.2">
      <c r="B35" s="66"/>
      <c r="C35" s="66"/>
      <c r="D35" s="67"/>
      <c r="E35" s="68"/>
      <c r="F35" s="68"/>
      <c r="G35" s="68"/>
      <c r="H35" s="68"/>
      <c r="I35" s="66"/>
      <c r="J35" s="66"/>
      <c r="K35" s="66"/>
      <c r="L35" s="66"/>
      <c r="M35" s="12"/>
      <c r="N35" s="12"/>
    </row>
    <row r="36" spans="2:14" x14ac:dyDescent="0.2">
      <c r="B36" s="66"/>
      <c r="C36" s="66"/>
      <c r="D36" s="67"/>
      <c r="E36" s="68"/>
      <c r="F36" s="68"/>
      <c r="G36" s="68"/>
      <c r="H36" s="68"/>
      <c r="I36" s="66"/>
      <c r="J36" s="66"/>
      <c r="K36" s="66"/>
      <c r="L36" s="66"/>
      <c r="M36" s="12"/>
      <c r="N36" s="12"/>
    </row>
    <row r="37" spans="2:14" x14ac:dyDescent="0.2">
      <c r="B37" s="66"/>
      <c r="C37" s="66"/>
      <c r="D37" s="67"/>
      <c r="E37" s="68"/>
      <c r="F37" s="68"/>
      <c r="G37" s="68"/>
      <c r="H37" s="68"/>
      <c r="I37" s="66"/>
      <c r="J37" s="66"/>
      <c r="K37" s="66"/>
      <c r="L37" s="66"/>
      <c r="M37" s="12"/>
      <c r="N37" s="12"/>
    </row>
    <row r="38" spans="2:14" x14ac:dyDescent="0.2">
      <c r="B38" s="66"/>
      <c r="C38" s="66"/>
      <c r="D38" s="67"/>
      <c r="E38" s="68"/>
      <c r="F38" s="68"/>
      <c r="G38" s="68"/>
      <c r="H38" s="68"/>
      <c r="I38" s="66"/>
      <c r="J38" s="66"/>
      <c r="K38" s="66"/>
      <c r="L38" s="66"/>
      <c r="M38" s="12"/>
      <c r="N38" s="12"/>
    </row>
    <row r="39" spans="2:14" x14ac:dyDescent="0.2">
      <c r="B39" s="66"/>
      <c r="C39" s="66"/>
      <c r="D39" s="67"/>
      <c r="E39" s="68"/>
      <c r="F39" s="68"/>
      <c r="G39" s="68"/>
      <c r="H39" s="68"/>
      <c r="I39" s="66"/>
      <c r="J39" s="66"/>
      <c r="K39" s="66"/>
      <c r="L39" s="66"/>
      <c r="M39" s="12"/>
      <c r="N39" s="12"/>
    </row>
    <row r="40" spans="2:14" x14ac:dyDescent="0.2">
      <c r="B40" s="66"/>
      <c r="C40" s="66"/>
      <c r="D40" s="67"/>
      <c r="E40" s="68"/>
      <c r="F40" s="68"/>
      <c r="G40" s="68"/>
      <c r="H40" s="68"/>
      <c r="I40" s="66"/>
      <c r="J40" s="66"/>
      <c r="K40" s="66"/>
      <c r="L40" s="66"/>
      <c r="M40" s="12"/>
      <c r="N40" s="12"/>
    </row>
    <row r="41" spans="2:14" x14ac:dyDescent="0.2">
      <c r="B41" s="66"/>
      <c r="C41" s="66"/>
      <c r="D41" s="67"/>
      <c r="E41" s="68"/>
      <c r="F41" s="68"/>
      <c r="G41" s="68"/>
      <c r="H41" s="68"/>
      <c r="I41" s="66"/>
      <c r="J41" s="66"/>
      <c r="K41" s="66"/>
      <c r="L41" s="66"/>
      <c r="M41" s="12"/>
      <c r="N41" s="12"/>
    </row>
    <row r="42" spans="2:14" x14ac:dyDescent="0.2">
      <c r="B42" s="66"/>
      <c r="C42" s="66"/>
      <c r="D42" s="67"/>
      <c r="E42" s="68"/>
      <c r="F42" s="68"/>
      <c r="G42" s="68"/>
      <c r="H42" s="68"/>
      <c r="I42" s="66"/>
      <c r="J42" s="66"/>
      <c r="K42" s="66"/>
      <c r="L42" s="66"/>
      <c r="M42" s="12"/>
      <c r="N42" s="12"/>
    </row>
    <row r="43" spans="2:14" x14ac:dyDescent="0.2">
      <c r="B43" s="66"/>
      <c r="C43" s="66"/>
      <c r="D43" s="67"/>
      <c r="E43" s="68"/>
      <c r="F43" s="68"/>
      <c r="G43" s="68"/>
      <c r="H43" s="68"/>
      <c r="I43" s="66"/>
      <c r="J43" s="66"/>
      <c r="K43" s="66"/>
      <c r="L43" s="66"/>
      <c r="M43" s="12"/>
      <c r="N43" s="12"/>
    </row>
    <row r="44" spans="2:14" x14ac:dyDescent="0.2">
      <c r="B44" s="66"/>
      <c r="C44" s="66"/>
      <c r="D44" s="67"/>
      <c r="E44" s="68"/>
      <c r="F44" s="68"/>
      <c r="G44" s="68"/>
      <c r="H44" s="68"/>
      <c r="I44" s="66"/>
      <c r="J44" s="66"/>
      <c r="K44" s="66"/>
      <c r="L44" s="66"/>
      <c r="M44" s="12"/>
      <c r="N44" s="12"/>
    </row>
    <row r="45" spans="2:14" x14ac:dyDescent="0.2">
      <c r="B45" s="66"/>
      <c r="C45" s="66"/>
      <c r="D45" s="67"/>
      <c r="E45" s="68"/>
      <c r="F45" s="68"/>
      <c r="G45" s="68"/>
      <c r="H45" s="68"/>
      <c r="I45" s="66"/>
      <c r="J45" s="66"/>
      <c r="K45" s="66"/>
      <c r="L45" s="66"/>
      <c r="M45" s="12"/>
      <c r="N45" s="12"/>
    </row>
    <row r="46" spans="2:14" x14ac:dyDescent="0.2">
      <c r="B46" s="66"/>
      <c r="C46" s="66"/>
      <c r="D46" s="67"/>
      <c r="E46" s="68"/>
      <c r="F46" s="68"/>
      <c r="G46" s="68"/>
      <c r="H46" s="68"/>
      <c r="I46" s="66"/>
      <c r="J46" s="66"/>
      <c r="K46" s="66"/>
      <c r="L46" s="66"/>
      <c r="M46" s="12"/>
      <c r="N46" s="12"/>
    </row>
    <row r="47" spans="2:14" x14ac:dyDescent="0.2">
      <c r="B47" s="66"/>
      <c r="C47" s="66"/>
      <c r="D47" s="67"/>
      <c r="E47" s="68"/>
      <c r="F47" s="68"/>
      <c r="G47" s="68"/>
      <c r="H47" s="68"/>
      <c r="I47" s="66"/>
      <c r="J47" s="66"/>
      <c r="K47" s="66"/>
      <c r="L47" s="66"/>
      <c r="M47" s="12"/>
      <c r="N47" s="12"/>
    </row>
    <row r="48" spans="2:14" x14ac:dyDescent="0.2">
      <c r="B48" s="66"/>
      <c r="C48" s="66"/>
      <c r="D48" s="67"/>
      <c r="E48" s="68"/>
      <c r="F48" s="68"/>
      <c r="G48" s="68"/>
      <c r="H48" s="68"/>
      <c r="I48" s="66"/>
      <c r="J48" s="66"/>
      <c r="K48" s="66"/>
      <c r="L48" s="66"/>
      <c r="M48" s="12"/>
      <c r="N48" s="12"/>
    </row>
    <row r="49" spans="2:14" x14ac:dyDescent="0.2">
      <c r="B49" s="12"/>
      <c r="C49" s="12"/>
      <c r="D49" s="12"/>
      <c r="E49" s="12"/>
      <c r="F49" s="12"/>
      <c r="G49" s="12"/>
      <c r="H49" s="12"/>
      <c r="I49" s="12"/>
      <c r="J49" s="12"/>
      <c r="K49" s="12"/>
      <c r="L49" s="12"/>
      <c r="M49" s="12"/>
      <c r="N49" s="12"/>
    </row>
    <row r="50" spans="2:14" x14ac:dyDescent="0.2">
      <c r="B50" s="12"/>
      <c r="C50" s="12"/>
      <c r="D50" s="12"/>
      <c r="E50" s="12"/>
      <c r="F50" s="12"/>
      <c r="G50" s="12"/>
      <c r="H50" s="12"/>
      <c r="I50" s="12"/>
      <c r="J50" s="12"/>
      <c r="K50" s="12"/>
      <c r="L50" s="12"/>
      <c r="M50" s="12"/>
      <c r="N50" s="12"/>
    </row>
  </sheetData>
  <mergeCells count="11">
    <mergeCell ref="B7:E7"/>
    <mergeCell ref="B2:M2"/>
    <mergeCell ref="B4:F4"/>
    <mergeCell ref="B5:E5"/>
    <mergeCell ref="B6:E6"/>
    <mergeCell ref="B8:E8"/>
    <mergeCell ref="B10:L10"/>
    <mergeCell ref="B30:D30"/>
    <mergeCell ref="B31:D31"/>
    <mergeCell ref="B32:D32"/>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U47"/>
  <sheetViews>
    <sheetView topLeftCell="A19" zoomScale="85" zoomScaleNormal="85" workbookViewId="0">
      <selection activeCell="B13" sqref="B13:G13"/>
    </sheetView>
  </sheetViews>
  <sheetFormatPr baseColWidth="10" defaultColWidth="9" defaultRowHeight="12.75" x14ac:dyDescent="0.2"/>
  <cols>
    <col min="1" max="1" width="9" style="1"/>
    <col min="2" max="2" width="22.625" style="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thickBot="1" x14ac:dyDescent="0.35">
      <c r="B2" s="144" t="s">
        <v>8</v>
      </c>
      <c r="C2" s="144"/>
      <c r="D2" s="144"/>
      <c r="E2" s="144"/>
      <c r="F2" s="144"/>
      <c r="G2" s="144"/>
      <c r="H2" s="144"/>
      <c r="I2" s="144"/>
      <c r="J2" s="144"/>
      <c r="K2" s="144"/>
      <c r="L2" s="144"/>
      <c r="M2" s="144"/>
      <c r="N2" s="144"/>
      <c r="O2" s="144"/>
      <c r="P2" s="144"/>
      <c r="Q2" s="144"/>
    </row>
    <row r="3" spans="2:17" ht="15" customHeight="1" thickTop="1" x14ac:dyDescent="0.2">
      <c r="B3" s="118" t="str">
        <f>Tooltype</f>
        <v>Calculator tool for the German scenario for inland water marinas</v>
      </c>
      <c r="C3" s="118"/>
      <c r="D3" s="118"/>
      <c r="E3" s="118"/>
    </row>
    <row r="4" spans="2:17" ht="15" customHeight="1" thickBot="1" x14ac:dyDescent="0.35">
      <c r="B4" s="145" t="s">
        <v>48</v>
      </c>
      <c r="C4" s="145"/>
      <c r="D4" s="145"/>
      <c r="E4" s="145"/>
      <c r="F4" s="145"/>
      <c r="G4" s="145"/>
      <c r="J4" s="145" t="s">
        <v>148</v>
      </c>
      <c r="K4" s="145"/>
      <c r="L4" s="145"/>
      <c r="M4" s="145"/>
      <c r="N4" s="145"/>
      <c r="O4" s="145"/>
      <c r="P4" s="145"/>
    </row>
    <row r="5" spans="2:17" ht="15" customHeight="1" thickTop="1" x14ac:dyDescent="0.2"/>
    <row r="6" spans="2:17" ht="15" customHeight="1" x14ac:dyDescent="0.2">
      <c r="B6" s="1" t="s">
        <v>67</v>
      </c>
      <c r="F6" s="52">
        <v>2.5</v>
      </c>
      <c r="G6" s="25" t="s">
        <v>93</v>
      </c>
      <c r="J6" s="1" t="s">
        <v>149</v>
      </c>
      <c r="O6" s="55">
        <v>3070</v>
      </c>
      <c r="P6" s="1" t="s">
        <v>134</v>
      </c>
    </row>
    <row r="7" spans="2:17" ht="15" customHeight="1" x14ac:dyDescent="0.2">
      <c r="B7" s="1" t="s">
        <v>53</v>
      </c>
      <c r="F7" s="1">
        <f>Average_biocide_release_over_the_lifetime_of_the_paint_M</f>
        <v>2.5</v>
      </c>
      <c r="G7" s="25" t="s">
        <v>93</v>
      </c>
    </row>
    <row r="8" spans="2:17" ht="15" customHeight="1" x14ac:dyDescent="0.2">
      <c r="B8" s="1" t="s">
        <v>54</v>
      </c>
      <c r="F8" s="34" t="e">
        <f>Average_biocide_release_over_the_lifetime_of_the_paint_C</f>
        <v>#DIV/0!</v>
      </c>
      <c r="G8" s="25" t="s">
        <v>93</v>
      </c>
    </row>
    <row r="9" spans="2:17" ht="15" customHeight="1" x14ac:dyDescent="0.2">
      <c r="B9" s="1" t="s">
        <v>52</v>
      </c>
      <c r="F9" s="38">
        <f>IF(ISBLANK(Average_biocide_release_over_the_lifetime_of_the_paint_M),1,0)</f>
        <v>0</v>
      </c>
      <c r="G9" s="25"/>
    </row>
    <row r="10" spans="2:17" ht="15" customHeight="1" x14ac:dyDescent="0.2">
      <c r="B10" s="1" t="s">
        <v>51</v>
      </c>
      <c r="F10" s="34">
        <f>IF((F9&lt;1),Average_biocide_release_over_the_lifetime_of_the_paint_M,Average_biocide_release_over_the_lifetime_of_the_paint_C)</f>
        <v>2.5</v>
      </c>
      <c r="G10" s="25" t="s">
        <v>93</v>
      </c>
    </row>
    <row r="11" spans="2:17" ht="15" customHeight="1" x14ac:dyDescent="0.2">
      <c r="B11" s="1" t="s">
        <v>49</v>
      </c>
      <c r="F11" s="34">
        <f>F10/F6</f>
        <v>1</v>
      </c>
      <c r="G11" s="1" t="s">
        <v>2</v>
      </c>
    </row>
    <row r="12" spans="2:17" ht="15" customHeight="1" x14ac:dyDescent="0.2">
      <c r="F12" s="34"/>
    </row>
    <row r="13" spans="2:17" ht="15" customHeight="1" thickBot="1" x14ac:dyDescent="0.35">
      <c r="B13" s="145" t="s">
        <v>66</v>
      </c>
      <c r="C13" s="145"/>
      <c r="D13" s="145"/>
      <c r="E13" s="145"/>
      <c r="F13" s="145"/>
      <c r="G13" s="145"/>
    </row>
    <row r="14" spans="2:17" ht="15" customHeight="1" thickTop="1" x14ac:dyDescent="0.2"/>
    <row r="15" spans="2:17" ht="15" customHeight="1" x14ac:dyDescent="0.2">
      <c r="B15" s="1" t="s">
        <v>73</v>
      </c>
      <c r="F15" s="109">
        <v>0.9</v>
      </c>
    </row>
    <row r="16" spans="2:17" ht="15" customHeight="1" x14ac:dyDescent="0.2">
      <c r="B16" s="1" t="s">
        <v>68</v>
      </c>
      <c r="F16" s="34">
        <f>Application_Factor</f>
        <v>0.9</v>
      </c>
    </row>
    <row r="17" spans="2:21" ht="15" customHeight="1" x14ac:dyDescent="0.2">
      <c r="B17" s="1" t="s">
        <v>49</v>
      </c>
      <c r="F17" s="34">
        <f>F16/F15</f>
        <v>1</v>
      </c>
      <c r="G17" s="49"/>
    </row>
    <row r="18" spans="2:21" ht="15" customHeight="1" x14ac:dyDescent="0.2"/>
    <row r="19" spans="2:21" ht="15" x14ac:dyDescent="0.2">
      <c r="B19" s="142" t="s">
        <v>180</v>
      </c>
      <c r="C19" s="142"/>
      <c r="D19" s="142"/>
      <c r="E19" s="142"/>
      <c r="F19" s="142"/>
      <c r="G19" s="142"/>
      <c r="H19" s="142"/>
      <c r="I19" s="142"/>
      <c r="J19" s="142"/>
      <c r="K19" s="142"/>
      <c r="L19" s="142"/>
      <c r="M19" s="142"/>
      <c r="N19" s="142"/>
      <c r="O19" s="142"/>
      <c r="P19" s="142"/>
      <c r="Q19" s="142"/>
      <c r="R19" s="142"/>
      <c r="S19" s="142"/>
      <c r="T19" s="142"/>
      <c r="U19" s="142"/>
    </row>
    <row r="20" spans="2:21" ht="95.1" customHeight="1" x14ac:dyDescent="0.2">
      <c r="B20" s="82" t="s">
        <v>9</v>
      </c>
      <c r="C20" s="83" t="s">
        <v>109</v>
      </c>
      <c r="D20" s="82" t="s">
        <v>11</v>
      </c>
      <c r="E20" s="9" t="s">
        <v>162</v>
      </c>
      <c r="F20" s="10" t="s">
        <v>135</v>
      </c>
      <c r="G20" s="10" t="s">
        <v>136</v>
      </c>
      <c r="H20" s="10" t="s">
        <v>110</v>
      </c>
      <c r="I20" s="10" t="s">
        <v>137</v>
      </c>
      <c r="J20" s="10" t="s">
        <v>101</v>
      </c>
      <c r="K20" s="10" t="s">
        <v>138</v>
      </c>
      <c r="L20" s="10" t="s">
        <v>102</v>
      </c>
      <c r="M20" s="10" t="s">
        <v>139</v>
      </c>
      <c r="N20" s="9" t="s">
        <v>106</v>
      </c>
      <c r="O20" s="9" t="s">
        <v>105</v>
      </c>
      <c r="P20" s="9" t="s">
        <v>104</v>
      </c>
      <c r="Q20" s="9" t="s">
        <v>111</v>
      </c>
      <c r="R20" s="9" t="s">
        <v>59</v>
      </c>
      <c r="S20" s="9" t="s">
        <v>60</v>
      </c>
      <c r="T20" s="9" t="s">
        <v>61</v>
      </c>
      <c r="U20" s="9" t="s">
        <v>62</v>
      </c>
    </row>
    <row r="21" spans="2:21" ht="14.25" customHeight="1" x14ac:dyDescent="0.2">
      <c r="B21" s="86" t="s">
        <v>163</v>
      </c>
      <c r="C21" s="8" t="s">
        <v>12</v>
      </c>
      <c r="D21" s="86" t="str">
        <f t="shared" ref="D21:D37" si="0">Compound_Name</f>
        <v>Tralopyril</v>
      </c>
      <c r="E21" s="54">
        <v>4180</v>
      </c>
      <c r="F21" s="114">
        <v>1.9729797577857999</v>
      </c>
      <c r="G21" s="114">
        <v>0.265854336172342</v>
      </c>
      <c r="H21" s="114">
        <v>6.0008849477526398E-4</v>
      </c>
      <c r="I21" s="114">
        <v>8.0860499303980806E-5</v>
      </c>
      <c r="J21" s="53">
        <f t="shared" ref="J21:J37" si="1">((($F21/$O$6*E21)*Leaching_Conversion_Factor*Application_Conversion_Factor)+Background_SW_Freshwater)</f>
        <v>2.6863372597865292</v>
      </c>
      <c r="K21" s="53">
        <f t="shared" ref="K21:K37" si="2">((($G21/$O$6*E21)*Leaching_Conversion_Factor*Application_Conversion_Factor)+Background_SW_Freshwater)</f>
        <v>0.36197756521185331</v>
      </c>
      <c r="L21" s="53">
        <f t="shared" ref="L21:L37" si="3">((($H21/$O$6*E21)*Leaching_Conversion_Factor*Application_Conversion_Factor)+Background_SW_Freshwater)</f>
        <v>8.1705860200671125E-4</v>
      </c>
      <c r="M21" s="53">
        <f t="shared" ref="M21:M37" si="4">((($I21/$O$6*E21)*Leaching_Conversion_Factor*Application_Conversion_Factor)+Background_SW_Freshwater)</f>
        <v>1.1009670589271654E-4</v>
      </c>
      <c r="N21" s="146">
        <f>PNEC_Aquatic_Inside</f>
        <v>1.7000000000000001E-2</v>
      </c>
      <c r="O21" s="146">
        <f>PNEC_Sediment_Inside</f>
        <v>1.1000000000000001E-3</v>
      </c>
      <c r="P21" s="146">
        <f>PNEC_Aquatic_Surrounding</f>
        <v>1.7000000000000001E-2</v>
      </c>
      <c r="Q21" s="146">
        <f>PNEC_Sediment_Surrounding</f>
        <v>1.1000000000000001E-3</v>
      </c>
      <c r="R21" s="73">
        <f>$J21/PNEC_Aquatic_Inside</f>
        <v>158.01983881097229</v>
      </c>
      <c r="S21" s="73">
        <f t="shared" ref="S21:S37" si="5">$K21/PNEC_Sediment_Inside</f>
        <v>329.07051382895753</v>
      </c>
      <c r="T21" s="73">
        <f t="shared" ref="T21:T37" si="6">$L21/PNEC_Aquatic_Surrounding</f>
        <v>4.8062270706277131E-2</v>
      </c>
      <c r="U21" s="73">
        <f t="shared" ref="U21:U37" si="7">$M21/PNEC_Sediment_Surrounding</f>
        <v>0.10008791444792411</v>
      </c>
    </row>
    <row r="22" spans="2:21" ht="14.25" customHeight="1" x14ac:dyDescent="0.2">
      <c r="B22" s="86" t="s">
        <v>164</v>
      </c>
      <c r="C22" s="8" t="s">
        <v>12</v>
      </c>
      <c r="D22" s="86" t="str">
        <f t="shared" si="0"/>
        <v>Tralopyril</v>
      </c>
      <c r="E22" s="54">
        <v>2888</v>
      </c>
      <c r="F22" s="114">
        <v>1.87305252343416</v>
      </c>
      <c r="G22" s="114">
        <v>2.1843152987957</v>
      </c>
      <c r="H22" s="114">
        <v>6.3317481528224701E-4</v>
      </c>
      <c r="I22" s="114">
        <v>7.3839543996094298E-4</v>
      </c>
      <c r="J22" s="53">
        <f t="shared" si="1"/>
        <v>1.7620116246507667</v>
      </c>
      <c r="K22" s="53">
        <f t="shared" si="2"/>
        <v>2.0548216882482024</v>
      </c>
      <c r="L22" s="53">
        <f t="shared" si="3"/>
        <v>5.9563806727528637E-4</v>
      </c>
      <c r="M22" s="53">
        <f t="shared" si="4"/>
        <v>6.9462085687531057E-4</v>
      </c>
      <c r="N22" s="146"/>
      <c r="O22" s="146"/>
      <c r="P22" s="146"/>
      <c r="Q22" s="146"/>
      <c r="R22" s="73">
        <f t="shared" ref="R22:R37" si="8">$J22/PNEC_Aquatic_Inside</f>
        <v>103.64774262651568</v>
      </c>
      <c r="S22" s="73">
        <f t="shared" si="5"/>
        <v>1868.0197165892748</v>
      </c>
      <c r="T22" s="73">
        <f t="shared" si="6"/>
        <v>3.503753336913449E-2</v>
      </c>
      <c r="U22" s="73">
        <f t="shared" si="7"/>
        <v>0.63147350625028231</v>
      </c>
    </row>
    <row r="23" spans="2:21" ht="14.25" customHeight="1" x14ac:dyDescent="0.2">
      <c r="B23" s="86" t="s">
        <v>165</v>
      </c>
      <c r="C23" s="8" t="s">
        <v>12</v>
      </c>
      <c r="D23" s="86" t="str">
        <f t="shared" si="0"/>
        <v>Tralopyril</v>
      </c>
      <c r="E23" s="54">
        <v>9904</v>
      </c>
      <c r="F23" s="114">
        <v>0.82284964680671702</v>
      </c>
      <c r="G23" s="114">
        <v>1.8986679828166999</v>
      </c>
      <c r="H23" s="114">
        <v>3.73159478214499E-4</v>
      </c>
      <c r="I23" s="114">
        <v>8.6103938373374397E-4</v>
      </c>
      <c r="J23" s="53">
        <f t="shared" si="1"/>
        <v>2.654561205854634</v>
      </c>
      <c r="K23" s="53">
        <f t="shared" si="2"/>
        <v>6.1252142351194125</v>
      </c>
      <c r="L23" s="53">
        <f t="shared" si="3"/>
        <v>1.2038343557773284E-3</v>
      </c>
      <c r="M23" s="53">
        <f t="shared" si="4"/>
        <v>2.7777635363188924E-3</v>
      </c>
      <c r="N23" s="146"/>
      <c r="O23" s="146"/>
      <c r="P23" s="146"/>
      <c r="Q23" s="146"/>
      <c r="R23" s="73">
        <f t="shared" si="8"/>
        <v>156.15065916791963</v>
      </c>
      <c r="S23" s="73">
        <f t="shared" si="5"/>
        <v>5568.3765773812838</v>
      </c>
      <c r="T23" s="73">
        <f t="shared" si="6"/>
        <v>7.0813785633960485E-2</v>
      </c>
      <c r="U23" s="73">
        <f t="shared" si="7"/>
        <v>2.5252395784717203</v>
      </c>
    </row>
    <row r="24" spans="2:21" ht="14.25" customHeight="1" x14ac:dyDescent="0.2">
      <c r="B24" s="86" t="s">
        <v>166</v>
      </c>
      <c r="C24" s="8" t="s">
        <v>12</v>
      </c>
      <c r="D24" s="86" t="str">
        <f t="shared" si="0"/>
        <v>Tralopyril</v>
      </c>
      <c r="E24" s="54">
        <v>31839</v>
      </c>
      <c r="F24" s="114">
        <v>5.9583549238741401E-2</v>
      </c>
      <c r="G24" s="114">
        <v>0.27297720327973402</v>
      </c>
      <c r="H24" s="114">
        <v>4.1629078563791097E-5</v>
      </c>
      <c r="I24" s="114">
        <v>1.9072025168000601E-4</v>
      </c>
      <c r="J24" s="53">
        <f t="shared" si="1"/>
        <v>0.61794157140465389</v>
      </c>
      <c r="K24" s="53">
        <f t="shared" si="2"/>
        <v>2.831049242743795</v>
      </c>
      <c r="L24" s="53">
        <f t="shared" si="3"/>
        <v>4.3173558058389079E-4</v>
      </c>
      <c r="M24" s="53">
        <f t="shared" si="4"/>
        <v>1.9779615938891569E-3</v>
      </c>
      <c r="N24" s="146"/>
      <c r="O24" s="146"/>
      <c r="P24" s="146"/>
      <c r="Q24" s="146"/>
      <c r="R24" s="73">
        <f t="shared" si="8"/>
        <v>36.349504200273756</v>
      </c>
      <c r="S24" s="73">
        <f t="shared" si="5"/>
        <v>2573.6811297670861</v>
      </c>
      <c r="T24" s="73">
        <f t="shared" si="6"/>
        <v>2.5396210622581808E-2</v>
      </c>
      <c r="U24" s="73">
        <f t="shared" si="7"/>
        <v>1.798146903535597</v>
      </c>
    </row>
    <row r="25" spans="2:21" ht="14.25" customHeight="1" x14ac:dyDescent="0.2">
      <c r="B25" s="86" t="s">
        <v>167</v>
      </c>
      <c r="C25" s="8" t="s">
        <v>12</v>
      </c>
      <c r="D25" s="86" t="str">
        <f t="shared" si="0"/>
        <v>Tralopyril</v>
      </c>
      <c r="E25" s="54">
        <v>12360</v>
      </c>
      <c r="F25" s="114">
        <v>4.0741771887987797E-2</v>
      </c>
      <c r="G25" s="114">
        <v>0.178539690449834</v>
      </c>
      <c r="H25" s="114">
        <v>2.1937524819567E-5</v>
      </c>
      <c r="I25" s="114">
        <v>9.61352126736814E-5</v>
      </c>
      <c r="J25" s="53">
        <f t="shared" si="1"/>
        <v>0.16402876238942318</v>
      </c>
      <c r="K25" s="53">
        <f t="shared" si="2"/>
        <v>0.71881126187620459</v>
      </c>
      <c r="L25" s="53">
        <f t="shared" si="3"/>
        <v>8.8321761162816977E-5</v>
      </c>
      <c r="M25" s="53">
        <f t="shared" si="4"/>
        <v>3.8704600281651535E-4</v>
      </c>
      <c r="N25" s="146"/>
      <c r="O25" s="146"/>
      <c r="P25" s="146"/>
      <c r="Q25" s="146"/>
      <c r="R25" s="73">
        <f t="shared" si="8"/>
        <v>9.6487507287895991</v>
      </c>
      <c r="S25" s="73">
        <f t="shared" si="5"/>
        <v>653.46478352382235</v>
      </c>
      <c r="T25" s="73">
        <f t="shared" si="6"/>
        <v>5.1953977154598216E-3</v>
      </c>
      <c r="U25" s="73">
        <f t="shared" si="7"/>
        <v>0.35186000256046845</v>
      </c>
    </row>
    <row r="26" spans="2:21" ht="14.25" customHeight="1" x14ac:dyDescent="0.2">
      <c r="B26" s="86" t="s">
        <v>168</v>
      </c>
      <c r="C26" s="8" t="s">
        <v>12</v>
      </c>
      <c r="D26" s="86" t="str">
        <f t="shared" si="0"/>
        <v>Tralopyril</v>
      </c>
      <c r="E26" s="54">
        <v>12311</v>
      </c>
      <c r="F26" s="114">
        <v>0.11035521730780599</v>
      </c>
      <c r="G26" s="114">
        <v>0.106009441576898</v>
      </c>
      <c r="H26" s="114">
        <v>1.1936979772790699E-4</v>
      </c>
      <c r="I26" s="114">
        <v>1.1466902757966E-4</v>
      </c>
      <c r="J26" s="53">
        <f t="shared" si="1"/>
        <v>0.44253520530175888</v>
      </c>
      <c r="K26" s="53">
        <f t="shared" si="2"/>
        <v>0.42510821995217951</v>
      </c>
      <c r="L26" s="53">
        <f t="shared" si="3"/>
        <v>4.7868455368998801E-4</v>
      </c>
      <c r="M26" s="53">
        <f t="shared" si="4"/>
        <v>4.5983400603687115E-4</v>
      </c>
      <c r="N26" s="146"/>
      <c r="O26" s="146"/>
      <c r="P26" s="146"/>
      <c r="Q26" s="146"/>
      <c r="R26" s="73">
        <f t="shared" si="8"/>
        <v>26.031482664809346</v>
      </c>
      <c r="S26" s="73">
        <f t="shared" si="5"/>
        <v>386.462018138345</v>
      </c>
      <c r="T26" s="73">
        <f t="shared" si="6"/>
        <v>2.815791492294047E-2</v>
      </c>
      <c r="U26" s="73">
        <f t="shared" si="7"/>
        <v>0.41803091457897373</v>
      </c>
    </row>
    <row r="27" spans="2:21" ht="14.25" customHeight="1" x14ac:dyDescent="0.2">
      <c r="B27" s="86" t="s">
        <v>169</v>
      </c>
      <c r="C27" s="8" t="s">
        <v>12</v>
      </c>
      <c r="D27" s="86" t="str">
        <f t="shared" si="0"/>
        <v>Tralopyril</v>
      </c>
      <c r="E27" s="54">
        <v>1377</v>
      </c>
      <c r="F27" s="114">
        <v>4.9822508233785596</v>
      </c>
      <c r="G27" s="114">
        <v>0.43895731359720203</v>
      </c>
      <c r="H27" s="114">
        <v>3.8079673707316999E-3</v>
      </c>
      <c r="I27" s="114">
        <v>3.3549799016125499E-4</v>
      </c>
      <c r="J27" s="53">
        <f t="shared" si="1"/>
        <v>2.2347098970007417</v>
      </c>
      <c r="K27" s="53">
        <f t="shared" si="2"/>
        <v>0.19688736834636716</v>
      </c>
      <c r="L27" s="53">
        <f t="shared" si="3"/>
        <v>1.7080036056995279E-3</v>
      </c>
      <c r="M27" s="53">
        <f t="shared" si="4"/>
        <v>1.5048232327428276E-4</v>
      </c>
      <c r="N27" s="146"/>
      <c r="O27" s="146"/>
      <c r="P27" s="146"/>
      <c r="Q27" s="146"/>
      <c r="R27" s="73">
        <f t="shared" si="8"/>
        <v>131.4535233529848</v>
      </c>
      <c r="S27" s="73">
        <f t="shared" si="5"/>
        <v>178.98851667851559</v>
      </c>
      <c r="T27" s="73">
        <f t="shared" si="6"/>
        <v>0.10047080033526634</v>
      </c>
      <c r="U27" s="73">
        <f t="shared" si="7"/>
        <v>0.13680211206752976</v>
      </c>
    </row>
    <row r="28" spans="2:21" ht="14.25" customHeight="1" x14ac:dyDescent="0.2">
      <c r="B28" s="86" t="s">
        <v>170</v>
      </c>
      <c r="C28" s="8" t="s">
        <v>12</v>
      </c>
      <c r="D28" s="86" t="str">
        <f t="shared" si="0"/>
        <v>Tralopyril</v>
      </c>
      <c r="E28" s="54">
        <v>1725</v>
      </c>
      <c r="F28" s="114">
        <v>6.1959040904045102</v>
      </c>
      <c r="G28" s="114">
        <v>397.40443786621103</v>
      </c>
      <c r="H28" s="114">
        <v>2.8924688337732098E-3</v>
      </c>
      <c r="I28" s="114">
        <v>0.185522552186934</v>
      </c>
      <c r="J28" s="53">
        <f t="shared" si="1"/>
        <v>3.4814119074748469</v>
      </c>
      <c r="K28" s="53">
        <f t="shared" si="2"/>
        <v>223.29728186293619</v>
      </c>
      <c r="L28" s="53">
        <f t="shared" si="3"/>
        <v>1.6252471460126343E-3</v>
      </c>
      <c r="M28" s="53">
        <f t="shared" si="4"/>
        <v>0.1042431278574792</v>
      </c>
      <c r="N28" s="146"/>
      <c r="O28" s="146"/>
      <c r="P28" s="146"/>
      <c r="Q28" s="146"/>
      <c r="R28" s="73">
        <f t="shared" si="8"/>
        <v>204.7889357338145</v>
      </c>
      <c r="S28" s="73">
        <f t="shared" si="5"/>
        <v>202997.5289663056</v>
      </c>
      <c r="T28" s="73">
        <f t="shared" si="6"/>
        <v>9.5602773294860832E-2</v>
      </c>
      <c r="U28" s="73">
        <f t="shared" si="7"/>
        <v>94.766479870435631</v>
      </c>
    </row>
    <row r="29" spans="2:21" ht="14.25" customHeight="1" x14ac:dyDescent="0.2">
      <c r="B29" s="86" t="s">
        <v>171</v>
      </c>
      <c r="C29" s="8" t="s">
        <v>12</v>
      </c>
      <c r="D29" s="86" t="str">
        <f t="shared" si="0"/>
        <v>Tralopyril</v>
      </c>
      <c r="E29" s="54">
        <v>9402</v>
      </c>
      <c r="F29" s="114">
        <v>0.20901090737432201</v>
      </c>
      <c r="G29" s="114">
        <v>0.15119472753256599</v>
      </c>
      <c r="H29" s="114">
        <v>5.9897578009383801E-4</v>
      </c>
      <c r="I29" s="114">
        <v>4.3328829587404498E-4</v>
      </c>
      <c r="J29" s="53">
        <f t="shared" si="1"/>
        <v>0.64010441404995955</v>
      </c>
      <c r="K29" s="53">
        <f t="shared" si="2"/>
        <v>0.4630400092055979</v>
      </c>
      <c r="L29" s="53">
        <f t="shared" si="3"/>
        <v>1.8343877148020407E-3</v>
      </c>
      <c r="M29" s="53">
        <f t="shared" si="4"/>
        <v>1.3269630481458539E-3</v>
      </c>
      <c r="N29" s="146"/>
      <c r="O29" s="146"/>
      <c r="P29" s="146"/>
      <c r="Q29" s="146"/>
      <c r="R29" s="73">
        <f t="shared" si="8"/>
        <v>37.653200826468208</v>
      </c>
      <c r="S29" s="73">
        <f t="shared" si="5"/>
        <v>420.94546291417987</v>
      </c>
      <c r="T29" s="73">
        <f t="shared" si="6"/>
        <v>0.10790515969423768</v>
      </c>
      <c r="U29" s="73">
        <f t="shared" si="7"/>
        <v>1.2063300437689579</v>
      </c>
    </row>
    <row r="30" spans="2:21" ht="14.25" customHeight="1" x14ac:dyDescent="0.2">
      <c r="B30" s="86" t="s">
        <v>172</v>
      </c>
      <c r="C30" s="8" t="s">
        <v>12</v>
      </c>
      <c r="D30" s="86" t="str">
        <f t="shared" si="0"/>
        <v>Tralopyril</v>
      </c>
      <c r="E30" s="54">
        <v>2818</v>
      </c>
      <c r="F30" s="114">
        <v>7.3600357165560099E-2</v>
      </c>
      <c r="G30" s="114">
        <v>8.0284313170705009E-3</v>
      </c>
      <c r="H30" s="114">
        <v>7.6190187062348807E-5</v>
      </c>
      <c r="I30" s="114">
        <v>8.31093359912088E-6</v>
      </c>
      <c r="J30" s="53">
        <f t="shared" si="1"/>
        <v>6.7558894622979926E-2</v>
      </c>
      <c r="K30" s="53">
        <f t="shared" si="2"/>
        <v>7.3694200167767655E-3</v>
      </c>
      <c r="L30" s="53">
        <f t="shared" si="3"/>
        <v>6.9936139134103885E-5</v>
      </c>
      <c r="M30" s="53">
        <f t="shared" si="4"/>
        <v>7.6287331864243129E-6</v>
      </c>
      <c r="N30" s="146"/>
      <c r="O30" s="146"/>
      <c r="P30" s="146"/>
      <c r="Q30" s="146"/>
      <c r="R30" s="73">
        <f t="shared" si="8"/>
        <v>3.9740526248811716</v>
      </c>
      <c r="S30" s="73">
        <f t="shared" si="5"/>
        <v>6.6994727425243319</v>
      </c>
      <c r="T30" s="73">
        <f t="shared" si="6"/>
        <v>4.113890537300228E-3</v>
      </c>
      <c r="U30" s="73">
        <f t="shared" si="7"/>
        <v>6.9352119876584656E-3</v>
      </c>
    </row>
    <row r="31" spans="2:21" ht="14.25" customHeight="1" x14ac:dyDescent="0.2">
      <c r="B31" s="86" t="s">
        <v>173</v>
      </c>
      <c r="C31" s="8" t="s">
        <v>12</v>
      </c>
      <c r="D31" s="86" t="str">
        <f t="shared" si="0"/>
        <v>Tralopyril</v>
      </c>
      <c r="E31" s="54">
        <v>7529</v>
      </c>
      <c r="F31" s="114">
        <v>1.76150378465652</v>
      </c>
      <c r="G31" s="114">
        <v>1.70715509712696</v>
      </c>
      <c r="H31" s="114">
        <v>9.8306604204215003E-4</v>
      </c>
      <c r="I31" s="114">
        <v>9.5273495192285998E-4</v>
      </c>
      <c r="J31" s="53">
        <f t="shared" si="1"/>
        <v>4.319987620416593</v>
      </c>
      <c r="K31" s="53">
        <f t="shared" si="2"/>
        <v>4.1867005623025673</v>
      </c>
      <c r="L31" s="53">
        <f t="shared" si="3"/>
        <v>2.4109134301418074E-3</v>
      </c>
      <c r="M31" s="53">
        <f t="shared" si="4"/>
        <v>2.3365281605951835E-3</v>
      </c>
      <c r="N31" s="146"/>
      <c r="O31" s="146"/>
      <c r="P31" s="146"/>
      <c r="Q31" s="146"/>
      <c r="R31" s="73">
        <f t="shared" si="8"/>
        <v>254.11691884803486</v>
      </c>
      <c r="S31" s="73">
        <f t="shared" si="5"/>
        <v>3806.091420275061</v>
      </c>
      <c r="T31" s="73">
        <f t="shared" si="6"/>
        <v>0.14181843706716513</v>
      </c>
      <c r="U31" s="73">
        <f t="shared" si="7"/>
        <v>2.124116509631985</v>
      </c>
    </row>
    <row r="32" spans="2:21" ht="14.25" customHeight="1" x14ac:dyDescent="0.2">
      <c r="B32" s="86" t="s">
        <v>174</v>
      </c>
      <c r="C32" s="8" t="s">
        <v>12</v>
      </c>
      <c r="D32" s="86" t="str">
        <f t="shared" si="0"/>
        <v>Tralopyril</v>
      </c>
      <c r="E32" s="54">
        <v>2825</v>
      </c>
      <c r="F32" s="114">
        <v>5.8761456286907201</v>
      </c>
      <c r="G32" s="114">
        <v>2.4473714247345901</v>
      </c>
      <c r="H32" s="114">
        <v>4.1041704635426902E-3</v>
      </c>
      <c r="I32" s="114">
        <v>1.70935678966089E-3</v>
      </c>
      <c r="J32" s="53">
        <f t="shared" si="1"/>
        <v>5.4072024107658905</v>
      </c>
      <c r="K32" s="53">
        <f t="shared" si="2"/>
        <v>2.2520600243893214</v>
      </c>
      <c r="L32" s="53">
        <f t="shared" si="3"/>
        <v>3.7766389444651789E-3</v>
      </c>
      <c r="M32" s="53">
        <f t="shared" si="4"/>
        <v>1.5729423227335551E-3</v>
      </c>
      <c r="N32" s="146"/>
      <c r="O32" s="146"/>
      <c r="P32" s="146"/>
      <c r="Q32" s="146"/>
      <c r="R32" s="73">
        <f t="shared" si="8"/>
        <v>318.07073004505236</v>
      </c>
      <c r="S32" s="73">
        <f t="shared" si="5"/>
        <v>2047.3272948993829</v>
      </c>
      <c r="T32" s="73">
        <f t="shared" si="6"/>
        <v>0.22215523202736345</v>
      </c>
      <c r="U32" s="73">
        <f t="shared" si="7"/>
        <v>1.4299475661214136</v>
      </c>
    </row>
    <row r="33" spans="1:21" ht="14.25" customHeight="1" x14ac:dyDescent="0.2">
      <c r="B33" s="86" t="s">
        <v>175</v>
      </c>
      <c r="C33" s="8" t="s">
        <v>12</v>
      </c>
      <c r="D33" s="86" t="str">
        <f t="shared" si="0"/>
        <v>Tralopyril</v>
      </c>
      <c r="E33" s="54">
        <v>726</v>
      </c>
      <c r="F33" s="114">
        <v>8.3260181593895002</v>
      </c>
      <c r="G33" s="114">
        <v>11.9203055357933</v>
      </c>
      <c r="H33" s="114">
        <v>3.9998789863586997E-3</v>
      </c>
      <c r="I33" s="114">
        <v>5.7266004784715802E-3</v>
      </c>
      <c r="J33" s="53">
        <f t="shared" si="1"/>
        <v>1.9689541315038364</v>
      </c>
      <c r="K33" s="53">
        <f t="shared" si="2"/>
        <v>2.8189387032527478</v>
      </c>
      <c r="L33" s="53">
        <f t="shared" si="3"/>
        <v>9.4589972120404434E-4</v>
      </c>
      <c r="M33" s="53">
        <f t="shared" si="4"/>
        <v>1.3542384193388818E-3</v>
      </c>
      <c r="N33" s="146"/>
      <c r="O33" s="146"/>
      <c r="P33" s="146"/>
      <c r="Q33" s="146"/>
      <c r="R33" s="73">
        <f t="shared" si="8"/>
        <v>115.82083126493154</v>
      </c>
      <c r="S33" s="73">
        <f t="shared" si="5"/>
        <v>2562.6715484115889</v>
      </c>
      <c r="T33" s="73">
        <f t="shared" si="6"/>
        <v>5.5641160070826132E-2</v>
      </c>
      <c r="U33" s="73">
        <f t="shared" si="7"/>
        <v>1.2311258357626198</v>
      </c>
    </row>
    <row r="34" spans="1:21" ht="14.25" customHeight="1" x14ac:dyDescent="0.2">
      <c r="B34" s="86" t="s">
        <v>176</v>
      </c>
      <c r="C34" s="8" t="s">
        <v>12</v>
      </c>
      <c r="D34" s="86" t="str">
        <f t="shared" si="0"/>
        <v>Tralopyril</v>
      </c>
      <c r="E34" s="54">
        <v>4138</v>
      </c>
      <c r="F34" s="114">
        <v>0.79920063093304605</v>
      </c>
      <c r="G34" s="114">
        <v>4.0683034537360101E-2</v>
      </c>
      <c r="H34" s="114">
        <v>1.77286213526293E-4</v>
      </c>
      <c r="I34" s="114">
        <v>9.0246939311937303E-6</v>
      </c>
      <c r="J34" s="53">
        <f t="shared" si="1"/>
        <v>1.0772287331599169</v>
      </c>
      <c r="K34" s="53">
        <f t="shared" si="2"/>
        <v>5.4835959907360295E-2</v>
      </c>
      <c r="L34" s="53">
        <f t="shared" si="3"/>
        <v>2.3896102657061904E-4</v>
      </c>
      <c r="M34" s="53">
        <f t="shared" si="4"/>
        <v>1.2164229148951027E-5</v>
      </c>
      <c r="N34" s="146"/>
      <c r="O34" s="146"/>
      <c r="P34" s="146"/>
      <c r="Q34" s="146"/>
      <c r="R34" s="73">
        <f t="shared" si="8"/>
        <v>63.366396068230401</v>
      </c>
      <c r="S34" s="73">
        <f t="shared" si="5"/>
        <v>49.850872643054814</v>
      </c>
      <c r="T34" s="73">
        <f t="shared" si="6"/>
        <v>1.4056530974742295E-2</v>
      </c>
      <c r="U34" s="73">
        <f t="shared" si="7"/>
        <v>1.1058390135410025E-2</v>
      </c>
    </row>
    <row r="35" spans="1:21" ht="14.25" customHeight="1" x14ac:dyDescent="0.2">
      <c r="B35" s="86" t="s">
        <v>177</v>
      </c>
      <c r="C35" s="8" t="s">
        <v>12</v>
      </c>
      <c r="D35" s="86" t="str">
        <f t="shared" si="0"/>
        <v>Tralopyril</v>
      </c>
      <c r="E35" s="54">
        <v>1268</v>
      </c>
      <c r="F35" s="114">
        <v>16.1652697348595</v>
      </c>
      <c r="G35" s="114">
        <v>2.0736764374375301</v>
      </c>
      <c r="H35" s="114">
        <v>1.40408213033638E-3</v>
      </c>
      <c r="I35" s="114">
        <v>1.80115279198689E-4</v>
      </c>
      <c r="J35" s="53">
        <f t="shared" si="1"/>
        <v>6.6767303009126531</v>
      </c>
      <c r="K35" s="53">
        <f t="shared" si="2"/>
        <v>0.85648916047908408</v>
      </c>
      <c r="L35" s="53">
        <f t="shared" si="3"/>
        <v>5.7992708184577521E-4</v>
      </c>
      <c r="M35" s="53">
        <f t="shared" si="4"/>
        <v>7.4392890561543199E-5</v>
      </c>
      <c r="N35" s="146"/>
      <c r="O35" s="146"/>
      <c r="P35" s="146"/>
      <c r="Q35" s="146"/>
      <c r="R35" s="73">
        <f t="shared" si="8"/>
        <v>392.74884123015602</v>
      </c>
      <c r="S35" s="73">
        <f t="shared" si="5"/>
        <v>778.62650952644003</v>
      </c>
      <c r="T35" s="73">
        <f t="shared" si="6"/>
        <v>3.411335775563383E-2</v>
      </c>
      <c r="U35" s="73">
        <f t="shared" si="7"/>
        <v>6.7629900510493807E-2</v>
      </c>
    </row>
    <row r="36" spans="1:21" ht="14.25" customHeight="1" x14ac:dyDescent="0.2">
      <c r="B36" s="86" t="s">
        <v>178</v>
      </c>
      <c r="C36" s="8" t="s">
        <v>12</v>
      </c>
      <c r="D36" s="86" t="str">
        <f t="shared" si="0"/>
        <v>Tralopyril</v>
      </c>
      <c r="E36" s="54">
        <v>5293</v>
      </c>
      <c r="F36" s="114">
        <v>3.5394975769519799</v>
      </c>
      <c r="G36" s="114">
        <v>1.7169797950982999</v>
      </c>
      <c r="H36" s="114">
        <v>4.4066584416075201E-4</v>
      </c>
      <c r="I36" s="114">
        <v>2.1376320639565101E-4</v>
      </c>
      <c r="J36" s="53">
        <f t="shared" si="1"/>
        <v>6.1024627605233972</v>
      </c>
      <c r="K36" s="53">
        <f t="shared" si="2"/>
        <v>2.9602521353274596</v>
      </c>
      <c r="L36" s="53">
        <f t="shared" si="3"/>
        <v>7.5975384792927047E-4</v>
      </c>
      <c r="M36" s="53">
        <f t="shared" si="4"/>
        <v>3.685500493329579E-4</v>
      </c>
      <c r="N36" s="146"/>
      <c r="O36" s="146"/>
      <c r="P36" s="146"/>
      <c r="Q36" s="146"/>
      <c r="R36" s="73">
        <f t="shared" si="8"/>
        <v>358.96839767784689</v>
      </c>
      <c r="S36" s="73">
        <f t="shared" si="5"/>
        <v>2691.1383048431449</v>
      </c>
      <c r="T36" s="73">
        <f t="shared" si="6"/>
        <v>4.4691402819368849E-2</v>
      </c>
      <c r="U36" s="73">
        <f t="shared" si="7"/>
        <v>0.33504549939359807</v>
      </c>
    </row>
    <row r="37" spans="1:21" ht="14.25" customHeight="1" x14ac:dyDescent="0.2">
      <c r="B37" s="86" t="s">
        <v>179</v>
      </c>
      <c r="C37" s="8" t="s">
        <v>12</v>
      </c>
      <c r="D37" s="86" t="str">
        <f t="shared" si="0"/>
        <v>Tralopyril</v>
      </c>
      <c r="E37" s="54">
        <v>5285</v>
      </c>
      <c r="F37" s="114">
        <v>0.98898099243640902</v>
      </c>
      <c r="G37" s="114">
        <v>0.90618724972009601</v>
      </c>
      <c r="H37" s="114">
        <v>1.5481238065063201E-3</v>
      </c>
      <c r="I37" s="114">
        <v>1.4185207438272801E-3</v>
      </c>
      <c r="J37" s="53">
        <f t="shared" si="1"/>
        <v>1.7025291677610495</v>
      </c>
      <c r="K37" s="53">
        <f t="shared" si="2"/>
        <v>1.5599998745181458</v>
      </c>
      <c r="L37" s="53">
        <f t="shared" si="3"/>
        <v>2.6650926115263521E-3</v>
      </c>
      <c r="M37" s="53">
        <f t="shared" si="4"/>
        <v>2.4419811502042915E-3</v>
      </c>
      <c r="N37" s="146"/>
      <c r="O37" s="146"/>
      <c r="P37" s="146"/>
      <c r="Q37" s="146"/>
      <c r="R37" s="73">
        <f t="shared" si="8"/>
        <v>100.14877457417937</v>
      </c>
      <c r="S37" s="73">
        <f t="shared" si="5"/>
        <v>1418.1817041074053</v>
      </c>
      <c r="T37" s="73">
        <f t="shared" si="6"/>
        <v>0.15677015361919716</v>
      </c>
      <c r="U37" s="73">
        <f t="shared" si="7"/>
        <v>2.2199828638220831</v>
      </c>
    </row>
    <row r="38" spans="1:21" x14ac:dyDescent="0.2">
      <c r="B38" s="143" t="s">
        <v>153</v>
      </c>
      <c r="C38" s="143"/>
      <c r="D38" s="143"/>
      <c r="E38" s="112"/>
      <c r="F38" s="112"/>
      <c r="G38" s="112"/>
      <c r="H38" s="112"/>
      <c r="I38" s="112"/>
      <c r="J38" s="74">
        <f>MEDIAN($J$21:$J$37)</f>
        <v>1.9689541315038364</v>
      </c>
      <c r="K38" s="74">
        <f>MEDIAN($K$21:$K$37)</f>
        <v>1.5599998745181458</v>
      </c>
      <c r="L38" s="74">
        <f>MEDIAN($L$21:$L$37)</f>
        <v>8.1705860200671125E-4</v>
      </c>
      <c r="M38" s="74">
        <f>MEDIAN($M$21:$M$37)</f>
        <v>6.9462085687531057E-4</v>
      </c>
      <c r="N38" s="74"/>
      <c r="O38" s="74"/>
      <c r="P38" s="74"/>
      <c r="Q38" s="74"/>
      <c r="R38" s="74">
        <f>MEDIAN($R$21:$R$37)</f>
        <v>115.82083126493154</v>
      </c>
      <c r="S38" s="74">
        <f>MEDIAN($S$21:$S$37)</f>
        <v>1418.1817041074053</v>
      </c>
      <c r="T38" s="74">
        <f>MEDIAN($T$21:$T$37)</f>
        <v>4.8062270706277131E-2</v>
      </c>
      <c r="U38" s="74">
        <f>MEDIAN($U$21:$U$37)</f>
        <v>0.63147350625028231</v>
      </c>
    </row>
    <row r="39" spans="1:21" x14ac:dyDescent="0.2">
      <c r="B39" s="143" t="s">
        <v>152</v>
      </c>
      <c r="C39" s="143"/>
      <c r="D39" s="143"/>
      <c r="E39" s="111"/>
      <c r="F39" s="111"/>
      <c r="G39" s="111"/>
      <c r="H39" s="111"/>
      <c r="I39" s="111"/>
      <c r="J39" s="74">
        <f>AVERAGE($J$21:$J$37)</f>
        <v>2.4709585804458603</v>
      </c>
      <c r="K39" s="74">
        <f>AVERAGE($K$21:$K$37)</f>
        <v>14.774755134931368</v>
      </c>
      <c r="L39" s="74">
        <f>AVERAGE($L$21:$L$37)</f>
        <v>1.190002011166316E-3</v>
      </c>
      <c r="M39" s="74">
        <f>AVERAGE($M$21:$M$37)</f>
        <v>7.0762542285782689E-3</v>
      </c>
      <c r="N39" s="74"/>
      <c r="O39" s="74"/>
      <c r="P39" s="74"/>
      <c r="Q39" s="74"/>
      <c r="R39" s="74">
        <f>AVERAGE($R$21:$R$37)</f>
        <v>145.35050473210944</v>
      </c>
      <c r="S39" s="74">
        <f>AVERAGE($S$21:$S$37)</f>
        <v>13431.595577210337</v>
      </c>
      <c r="T39" s="74">
        <f>AVERAGE($T$21:$T$37)</f>
        <v>7.0000118303900946E-2</v>
      </c>
      <c r="U39" s="74">
        <f>AVERAGE($U$21:$U$37)</f>
        <v>6.4329583896166085</v>
      </c>
    </row>
    <row r="40" spans="1:21" x14ac:dyDescent="0.2">
      <c r="B40" s="143" t="s">
        <v>13</v>
      </c>
      <c r="C40" s="143"/>
      <c r="D40" s="143"/>
      <c r="E40" s="111"/>
      <c r="F40" s="111"/>
      <c r="G40" s="111"/>
      <c r="H40" s="111"/>
      <c r="I40" s="111"/>
      <c r="J40" s="74">
        <f>MAX($J$21:$J$37)</f>
        <v>6.6767303009126531</v>
      </c>
      <c r="K40" s="74">
        <f>MAX($K$21:$K$37)</f>
        <v>223.29728186293619</v>
      </c>
      <c r="L40" s="74">
        <f>MAX($L$21:$L$37)</f>
        <v>3.7766389444651789E-3</v>
      </c>
      <c r="M40" s="74">
        <f>MAX($M$21:$M$37)</f>
        <v>0.1042431278574792</v>
      </c>
      <c r="N40" s="74"/>
      <c r="O40" s="74"/>
      <c r="P40" s="74"/>
      <c r="Q40" s="74"/>
      <c r="R40" s="74">
        <f>MAX($R$21:$R$37)</f>
        <v>392.74884123015602</v>
      </c>
      <c r="S40" s="74">
        <f>MAX($S$21:$S$37)</f>
        <v>202997.5289663056</v>
      </c>
      <c r="T40" s="74">
        <f>MAX($T$21:$T$37)</f>
        <v>0.22215523202736345</v>
      </c>
      <c r="U40" s="74">
        <f>MAX($U$21:$U$37)</f>
        <v>94.766479870435631</v>
      </c>
    </row>
    <row r="41" spans="1:21" x14ac:dyDescent="0.2">
      <c r="B41" s="143" t="s">
        <v>14</v>
      </c>
      <c r="C41" s="143"/>
      <c r="D41" s="143"/>
      <c r="E41" s="111"/>
      <c r="F41" s="111"/>
      <c r="G41" s="111"/>
      <c r="H41" s="111"/>
      <c r="I41" s="111"/>
      <c r="J41" s="74">
        <f>MIN($J$21:$J$37)</f>
        <v>6.7558894622979926E-2</v>
      </c>
      <c r="K41" s="74">
        <f>MIN($K$21:$K$37)</f>
        <v>7.3694200167767655E-3</v>
      </c>
      <c r="L41" s="74">
        <f>MIN($L$21:$L$37)</f>
        <v>6.9936139134103885E-5</v>
      </c>
      <c r="M41" s="74">
        <f>MIN($M$21:$M$37)</f>
        <v>7.6287331864243129E-6</v>
      </c>
      <c r="N41" s="74"/>
      <c r="O41" s="74"/>
      <c r="P41" s="74"/>
      <c r="Q41" s="74"/>
      <c r="R41" s="74">
        <f>MIN($R$21:$R$37)</f>
        <v>3.9740526248811716</v>
      </c>
      <c r="S41" s="74">
        <f>MIN($S$21:$S$37)</f>
        <v>6.6994727425243319</v>
      </c>
      <c r="T41" s="74">
        <f>MIN($T$21:$T$37)</f>
        <v>4.113890537300228E-3</v>
      </c>
      <c r="U41" s="74">
        <f>MIN($U$21:$U$37)</f>
        <v>6.9352119876584656E-3</v>
      </c>
    </row>
    <row r="42" spans="1:21" x14ac:dyDescent="0.2">
      <c r="A42" s="81"/>
      <c r="B42" s="14"/>
      <c r="C42" s="14"/>
      <c r="D42" s="111" t="s">
        <v>85</v>
      </c>
      <c r="E42" s="14"/>
      <c r="F42" s="14"/>
      <c r="G42" s="14"/>
      <c r="H42" s="14"/>
      <c r="I42" s="14"/>
      <c r="J42" s="74">
        <f>_xlfn.PERCENTILE.INC(J$21:J$37,0.9)</f>
        <v>5.6853065506688933</v>
      </c>
      <c r="K42" s="74">
        <f>_xlfn.PERCENTILE.INC(K$21:K$37,0.9)</f>
        <v>4.9621060314293057</v>
      </c>
      <c r="L42" s="74">
        <f>_xlfn.PERCENTILE.INC(L$21:L$37,0.9)</f>
        <v>2.5125851026956253E-3</v>
      </c>
      <c r="M42" s="74">
        <f>_xlfn.PERCENTILE.INC(M$21:M$37,0.9)</f>
        <v>2.5762941046501321E-3</v>
      </c>
      <c r="N42" s="74"/>
      <c r="O42" s="74"/>
      <c r="P42" s="74"/>
      <c r="Q42" s="74"/>
      <c r="R42" s="74">
        <f>_xlfn.PERCENTILE.INC(R$21:R$37,0.9)</f>
        <v>334.42979709817018</v>
      </c>
      <c r="S42" s="74">
        <f>_xlfn.PERCENTILE.INC(S$21:S$37,0.9)</f>
        <v>4511.0054831175512</v>
      </c>
      <c r="T42" s="74">
        <f>_xlfn.PERCENTILE.INC(T$21:T$37,0.9)</f>
        <v>0.14779912368797796</v>
      </c>
      <c r="U42" s="74">
        <f>_xlfn.PERCENTILE.INC(U$21:U$37,0.9)</f>
        <v>2.3420855496819382</v>
      </c>
    </row>
    <row r="43" spans="1:21" x14ac:dyDescent="0.2">
      <c r="B43" s="14"/>
      <c r="C43" s="14"/>
      <c r="D43" s="111" t="s">
        <v>86</v>
      </c>
      <c r="E43" s="14"/>
      <c r="F43" s="14"/>
      <c r="G43" s="14"/>
      <c r="H43" s="14"/>
      <c r="I43" s="14"/>
      <c r="J43" s="74">
        <f>_xlfn.PERCENTILE.INC(J$21:J$37,0.8)</f>
        <v>4.1522724778282445</v>
      </c>
      <c r="K43" s="74">
        <f>_xlfn.PERCENTILE.INC(K$21:K$37,0.8)</f>
        <v>2.9344115568107267</v>
      </c>
      <c r="L43" s="74">
        <f>_xlfn.PERCENTILE.INC(L$21:L$37,0.8)</f>
        <v>1.8091108929815382E-3</v>
      </c>
      <c r="M43" s="74">
        <f>_xlfn.PERCENTILE.INC(M$21:M$37,0.8)</f>
        <v>2.2648148472539783E-3</v>
      </c>
      <c r="N43" s="74"/>
      <c r="O43" s="74"/>
      <c r="P43" s="74"/>
      <c r="Q43" s="74"/>
      <c r="R43" s="74">
        <f>_xlfn.PERCENTILE.INC(R$21:R$37,0.8)</f>
        <v>244.25132222519082</v>
      </c>
      <c r="S43" s="74">
        <f>_xlfn.PERCENTILE.INC(S$21:S$37,0.8)</f>
        <v>2667.6468698279332</v>
      </c>
      <c r="T43" s="74">
        <f>_xlfn.PERCENTILE.INC(T$21:T$37,0.8)</f>
        <v>0.10641828782244342</v>
      </c>
      <c r="U43" s="74">
        <f>_xlfn.PERCENTILE.INC(U$21:U$37,0.8)</f>
        <v>2.0589225884127078</v>
      </c>
    </row>
    <row r="44" spans="1:21" x14ac:dyDescent="0.2">
      <c r="B44" s="14"/>
      <c r="C44" s="14"/>
      <c r="D44" s="111" t="s">
        <v>87</v>
      </c>
      <c r="E44" s="14"/>
      <c r="F44" s="14"/>
      <c r="G44" s="14"/>
      <c r="H44" s="14"/>
      <c r="I44" s="14"/>
      <c r="J44" s="74">
        <f>_xlfn.PERCENTILE.INC(J$21:J$37,0.75)</f>
        <v>3.4814119074748469</v>
      </c>
      <c r="K44" s="74">
        <f>_xlfn.PERCENTILE.INC(K$21:K$37,0.75)</f>
        <v>2.831049242743795</v>
      </c>
      <c r="L44" s="74">
        <f>_xlfn.PERCENTILE.INC(L$21:L$37,0.75)</f>
        <v>1.7080036056995279E-3</v>
      </c>
      <c r="M44" s="74">
        <f>_xlfn.PERCENTILE.INC(M$21:M$37,0.75)</f>
        <v>1.9779615938891569E-3</v>
      </c>
      <c r="N44" s="74"/>
      <c r="O44" s="74"/>
      <c r="P44" s="74"/>
      <c r="Q44" s="74"/>
      <c r="R44" s="74">
        <f>_xlfn.PERCENTILE.INC(R$21:R$37,0.75)</f>
        <v>204.7889357338145</v>
      </c>
      <c r="S44" s="74">
        <f>_xlfn.PERCENTILE.INC(S$21:S$37,0.75)</f>
        <v>2573.6811297670861</v>
      </c>
      <c r="T44" s="74">
        <f>_xlfn.PERCENTILE.INC(T$21:T$37,0.75)</f>
        <v>0.10047080033526634</v>
      </c>
      <c r="U44" s="74">
        <f>_xlfn.PERCENTILE.INC(U$21:U$37,0.75)</f>
        <v>1.798146903535597</v>
      </c>
    </row>
    <row r="45" spans="1:21" x14ac:dyDescent="0.2">
      <c r="B45" s="14"/>
      <c r="C45" s="14"/>
      <c r="D45" s="111" t="s">
        <v>88</v>
      </c>
      <c r="E45" s="14"/>
      <c r="F45" s="14"/>
      <c r="G45" s="14"/>
      <c r="H45" s="14"/>
      <c r="I45" s="14"/>
      <c r="J45" s="74">
        <f>_xlfn.PERCENTILE.INC(J$21:J$37,0.5)</f>
        <v>1.9689541315038364</v>
      </c>
      <c r="K45" s="74">
        <f>_xlfn.PERCENTILE.INC(K$21:K$37,0.5)</f>
        <v>1.5599998745181458</v>
      </c>
      <c r="L45" s="74">
        <f>_xlfn.PERCENTILE.INC(L$21:L$37,0.5)</f>
        <v>8.1705860200671125E-4</v>
      </c>
      <c r="M45" s="74">
        <f>_xlfn.PERCENTILE.INC(M$21:M$37,0.5)</f>
        <v>6.9462085687531057E-4</v>
      </c>
      <c r="N45" s="74"/>
      <c r="O45" s="74"/>
      <c r="P45" s="74"/>
      <c r="Q45" s="74"/>
      <c r="R45" s="74">
        <f>_xlfn.PERCENTILE.INC(R$21:R$37,0.5)</f>
        <v>115.82083126493154</v>
      </c>
      <c r="S45" s="74">
        <f>_xlfn.PERCENTILE.INC(S$21:S$37,0.5)</f>
        <v>1418.1817041074053</v>
      </c>
      <c r="T45" s="74">
        <f>_xlfn.PERCENTILE.INC(T$21:T$37,0.5)</f>
        <v>4.8062270706277131E-2</v>
      </c>
      <c r="U45" s="74">
        <f>_xlfn.PERCENTILE.INC(U$21:U$37,0.5)</f>
        <v>0.63147350625028231</v>
      </c>
    </row>
    <row r="46" spans="1:21" x14ac:dyDescent="0.2">
      <c r="B46" s="14"/>
      <c r="C46" s="14"/>
      <c r="D46" s="111" t="s">
        <v>89</v>
      </c>
      <c r="E46" s="14"/>
      <c r="F46" s="14"/>
      <c r="G46" s="14"/>
      <c r="H46" s="14"/>
      <c r="I46" s="14"/>
      <c r="J46" s="74">
        <f>_xlfn.PERCENTILE.INC(J$21:J$37,0.25)</f>
        <v>0.64010441404995955</v>
      </c>
      <c r="K46" s="74">
        <f>_xlfn.PERCENTILE.INC(K$21:K$37,0.25)</f>
        <v>0.42510821995217951</v>
      </c>
      <c r="L46" s="74">
        <f>_xlfn.PERCENTILE.INC(L$21:L$37,0.25)</f>
        <v>4.7868455368998801E-4</v>
      </c>
      <c r="M46" s="74">
        <f>_xlfn.PERCENTILE.INC(M$21:M$37,0.25)</f>
        <v>1.5048232327428276E-4</v>
      </c>
      <c r="N46" s="74"/>
      <c r="O46" s="74"/>
      <c r="P46" s="74"/>
      <c r="Q46" s="74"/>
      <c r="R46" s="74">
        <f>_xlfn.PERCENTILE.INC(R$21:R$37,0.25)</f>
        <v>37.653200826468208</v>
      </c>
      <c r="S46" s="74">
        <f>_xlfn.PERCENTILE.INC(S$21:S$37,0.25)</f>
        <v>386.462018138345</v>
      </c>
      <c r="T46" s="74">
        <f>_xlfn.PERCENTILE.INC(T$21:T$37,0.25)</f>
        <v>2.815791492294047E-2</v>
      </c>
      <c r="U46" s="74">
        <f>_xlfn.PERCENTILE.INC(U$21:U$37,0.25)</f>
        <v>0.13680211206752976</v>
      </c>
    </row>
    <row r="47" spans="1:21" x14ac:dyDescent="0.2">
      <c r="B47" s="14"/>
      <c r="C47" s="14"/>
      <c r="D47" s="111" t="s">
        <v>90</v>
      </c>
      <c r="E47" s="14"/>
      <c r="F47" s="14"/>
      <c r="G47" s="14"/>
      <c r="H47" s="14"/>
      <c r="I47" s="14"/>
      <c r="J47" s="74">
        <f>_xlfn.PERCENTILE.INC(J$21:J$37,0.1)</f>
        <v>0.33113262813682465</v>
      </c>
      <c r="K47" s="74">
        <f>_xlfn.PERCENTILE.INC(K$21:K$37,0.1)</f>
        <v>0.14006680497076443</v>
      </c>
      <c r="L47" s="74">
        <f>_xlfn.PERCENTILE.INC(L$21:L$37,0.1)</f>
        <v>1.7870532040749823E-4</v>
      </c>
      <c r="M47" s="74">
        <f>_xlfn.PERCENTILE.INC(M$21:M$37,0.1)</f>
        <v>4.9501425996506339E-5</v>
      </c>
      <c r="N47" s="74"/>
      <c r="O47" s="74"/>
      <c r="P47" s="74"/>
      <c r="Q47" s="74"/>
      <c r="R47" s="74">
        <f>_xlfn.PERCENTILE.INC(R$21:R$37,0.1)</f>
        <v>19.478389890401445</v>
      </c>
      <c r="S47" s="74">
        <f>_xlfn.PERCENTILE.INC(S$21:S$37,0.1)</f>
        <v>127.33345906433128</v>
      </c>
      <c r="T47" s="74">
        <f>_xlfn.PERCENTILE.INC(T$21:T$37,0.1)</f>
        <v>1.0512077671029307E-2</v>
      </c>
      <c r="U47" s="74">
        <f>_xlfn.PERCENTILE.INC(U$21:U$37,0.1)</f>
        <v>4.5001296360460297E-2</v>
      </c>
    </row>
  </sheetData>
  <mergeCells count="13">
    <mergeCell ref="B41:D41"/>
    <mergeCell ref="B39:D39"/>
    <mergeCell ref="B2:Q2"/>
    <mergeCell ref="B4:G4"/>
    <mergeCell ref="J4:P4"/>
    <mergeCell ref="B13:G13"/>
    <mergeCell ref="B19:U19"/>
    <mergeCell ref="N21:N37"/>
    <mergeCell ref="O21:O37"/>
    <mergeCell ref="P21:P37"/>
    <mergeCell ref="Q21:Q37"/>
    <mergeCell ref="B40:D40"/>
    <mergeCell ref="B38:D3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sheetPr>
  <dimension ref="B2:M39"/>
  <sheetViews>
    <sheetView zoomScale="90" zoomScaleNormal="90"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44" t="s">
        <v>91</v>
      </c>
      <c r="C2" s="144"/>
      <c r="D2" s="144"/>
      <c r="E2" s="144"/>
      <c r="F2" s="144"/>
      <c r="G2" s="144"/>
      <c r="H2" s="144"/>
      <c r="I2" s="144"/>
      <c r="J2" s="144"/>
      <c r="K2" s="144"/>
      <c r="L2" s="144"/>
      <c r="M2" s="144"/>
    </row>
    <row r="3" spans="2:13" ht="13.5" thickTop="1" x14ac:dyDescent="0.2">
      <c r="B3" s="103" t="str">
        <f>Tooltype</f>
        <v>Calculator tool for the German scenario for inland water marinas</v>
      </c>
    </row>
    <row r="4" spans="2:13" ht="18" thickBot="1" x14ac:dyDescent="0.35">
      <c r="B4" s="7" t="s">
        <v>0</v>
      </c>
    </row>
    <row r="5" spans="2:13" ht="13.5" thickTop="1" x14ac:dyDescent="0.2"/>
    <row r="6" spans="2:13" x14ac:dyDescent="0.2">
      <c r="B6" s="1" t="s">
        <v>1</v>
      </c>
      <c r="C6" s="55" t="s">
        <v>140</v>
      </c>
    </row>
    <row r="9" spans="2:13" x14ac:dyDescent="0.2">
      <c r="B9" s="45"/>
    </row>
    <row r="12" spans="2:13" x14ac:dyDescent="0.2">
      <c r="D12" s="3"/>
    </row>
    <row r="14" spans="2:13" ht="15" x14ac:dyDescent="0.2">
      <c r="B14" s="4"/>
    </row>
    <row r="16" spans="2:13" x14ac:dyDescent="0.2">
      <c r="D16" s="3"/>
    </row>
    <row r="18" spans="2:2" ht="15" x14ac:dyDescent="0.2">
      <c r="B18" s="4"/>
    </row>
    <row r="19" spans="2:2" ht="15" x14ac:dyDescent="0.2">
      <c r="B19" s="4"/>
    </row>
    <row r="20" spans="2:2" ht="15" x14ac:dyDescent="0.2">
      <c r="B20" s="4"/>
    </row>
    <row r="21" spans="2:2" ht="15" x14ac:dyDescent="0.2">
      <c r="B21" s="4"/>
    </row>
    <row r="27" spans="2:2" ht="15" x14ac:dyDescent="0.2">
      <c r="B27" s="4"/>
    </row>
    <row r="33" spans="2:4" ht="15" x14ac:dyDescent="0.2">
      <c r="B33" s="4"/>
    </row>
    <row r="34" spans="2:4" x14ac:dyDescent="0.2">
      <c r="B34" s="5"/>
    </row>
    <row r="35" spans="2:4" x14ac:dyDescent="0.2">
      <c r="B35" s="5"/>
    </row>
    <row r="36" spans="2:4" x14ac:dyDescent="0.2">
      <c r="B36" s="5"/>
      <c r="D36" s="3"/>
    </row>
    <row r="38" spans="2:4" ht="15" x14ac:dyDescent="0.2">
      <c r="B38" s="4"/>
    </row>
    <row r="39" spans="2:4" ht="15" x14ac:dyDescent="0.2">
      <c r="D39" s="6"/>
    </row>
  </sheetData>
  <mergeCells count="1">
    <mergeCell ref="B2:M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24</vt:i4>
      </vt:variant>
    </vt:vector>
  </HeadingPairs>
  <TitlesOfParts>
    <vt:vector size="31" baseType="lpstr">
      <vt:lpstr> Introduction</vt:lpstr>
      <vt:lpstr>Instructions</vt:lpstr>
      <vt:lpstr>User_Input</vt:lpstr>
      <vt:lpstr>Output_Summary</vt:lpstr>
      <vt:lpstr>Output_DE marinas</vt:lpstr>
      <vt:lpstr>DE Marinas_Scenario_Calc</vt:lpstr>
      <vt:lpstr>Active_Subst_Input</vt:lpstr>
      <vt:lpstr>a</vt:lpstr>
      <vt:lpstr>'DE Marinas_Scenario_Calc'!Application_Conversion_Factor</vt:lpstr>
      <vt:lpstr>Application_Factor</vt:lpstr>
      <vt:lpstr>Average_biocide_release_over_the_lifetime_of_the_paint_C</vt:lpstr>
      <vt:lpstr>Average_biocide_release_over_the_lifetime_of_the_paint_M</vt:lpstr>
      <vt:lpstr>Background_Sed_Freshwater</vt:lpstr>
      <vt:lpstr>Background_SW_Freshwater</vt:lpstr>
      <vt:lpstr>Compound_Name</vt:lpstr>
      <vt:lpstr>DFT</vt:lpstr>
      <vt:lpstr>La</vt:lpstr>
      <vt:lpstr>'DE Marinas_Scenario_Calc'!Leaching_Conversion_Factor</vt:lpstr>
      <vt:lpstr>Mrel</vt:lpstr>
      <vt:lpstr>PNEC_Aquatic_Inside</vt:lpstr>
      <vt:lpstr>PNEC_Aquatic_Surrounding</vt:lpstr>
      <vt:lpstr>PNEC_Sediment_Inside</vt:lpstr>
      <vt:lpstr>PNEC_Sediment_Surrounding</vt:lpstr>
      <vt:lpstr>Substance</vt:lpstr>
      <vt:lpstr>t</vt:lpstr>
      <vt:lpstr>Tooltype</vt:lpstr>
      <vt:lpstr>Version</vt:lpstr>
      <vt:lpstr>VS</vt:lpstr>
      <vt:lpstr>ƿ</vt:lpstr>
      <vt:lpstr>Wa</vt:lpstr>
      <vt:lpstr>'DE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2020-06-19T10:11:02Z</dcterms:modified>
</cp:coreProperties>
</file>